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mmary" sheetId="1" state="visible" r:id="rId1"/>
    <sheet xmlns:r="http://schemas.openxmlformats.org/officeDocument/2006/relationships" name="Assumptions" sheetId="2" state="visible" r:id="rId2"/>
    <sheet xmlns:r="http://schemas.openxmlformats.org/officeDocument/2006/relationships" name="Rent Roll" sheetId="3" state="visible" r:id="rId3"/>
    <sheet xmlns:r="http://schemas.openxmlformats.org/officeDocument/2006/relationships" name="Cash Flow" sheetId="4" state="visible" r:id="rId4"/>
    <sheet xmlns:r="http://schemas.openxmlformats.org/officeDocument/2006/relationships" name="Debt" sheetId="5" state="visible" r:id="rId5"/>
    <sheet xmlns:r="http://schemas.openxmlformats.org/officeDocument/2006/relationships" name="Returns" sheetId="6" state="visible" r:id="rId6"/>
    <sheet xmlns:r="http://schemas.openxmlformats.org/officeDocument/2006/relationships" name="Sensitivity" sheetId="7" state="visible" r:id="rId7"/>
    <sheet xmlns:r="http://schemas.openxmlformats.org/officeDocument/2006/relationships" name="Notes" sheetId="8" state="visible" r:id="rId8"/>
    <sheet xmlns:r="http://schemas.openxmlformats.org/officeDocument/2006/relationships" name="Audit" sheetId="9" state="visible" r:id="rId9"/>
  </sheets>
  <definedNames>
    <definedName name="_xlnm.Print_Area" localSheetId="0">'Summary'!$B$1:$W$44</definedName>
    <definedName name="_xlnm.Print_Area" localSheetId="1">'Assumptions'!$B$1:$K$98</definedName>
    <definedName name="_xlnm.Print_Titles" localSheetId="2">'Rent Roll'!$B:$F</definedName>
    <definedName name="_xlnm.Print_Area" localSheetId="2">'Rent Roll'!$B$1:$U$36</definedName>
    <definedName name="_xlnm.Print_Titles" localSheetId="3">'Cash Flow'!$B:$C</definedName>
    <definedName name="_xlnm.Print_Area" localSheetId="3">'Cash Flow'!$B$1:$R$50</definedName>
    <definedName name="_xlnm.Print_Titles" localSheetId="4">'Debt'!$B:$C</definedName>
    <definedName name="_xlnm.Print_Area" localSheetId="4">'Debt'!$B$1:$R$14</definedName>
    <definedName name="_xlnm.Print_Titles" localSheetId="5">'Returns'!$B:$C</definedName>
    <definedName name="_xlnm.Print_Area" localSheetId="5">'Returns'!$B$1:$R$23</definedName>
    <definedName name="_xlnm.Print_Area" localSheetId="6">'Sensitivity'!$B$1:$I$31</definedName>
    <definedName name="_xlnm.Print_Area" localSheetId="7">'Notes'!$B$1:$B$33</definedName>
    <definedName name="_xlnm.Print_Area" localSheetId="8">'Audit'!$B$1:$C$120</definedName>
  </definedNames>
  <calcPr calcId="124519" fullCalcOnLoad="1"/>
</workbook>
</file>

<file path=xl/styles.xml><?xml version="1.0" encoding="utf-8"?>
<styleSheet xmlns="http://schemas.openxmlformats.org/spreadsheetml/2006/main">
  <numFmts count="8">
    <numFmt numFmtId="164" formatCode="#,##0;(#,##0);&quot;&quot;"/>
    <numFmt numFmtId="165" formatCode="0.00%;(0.00%);&quot;&quot;"/>
    <numFmt numFmtId="166" formatCode="#,##0.00;(#,##0.00);&quot;&quot;"/>
    <numFmt numFmtId="167" formatCode="0.00&quot;x&quot;;(0.00&quot;x&quot;);&quot;&quot;"/>
    <numFmt numFmtId="168" formatCode="$#,##0;($#,##0);&quot;&quot;"/>
    <numFmt numFmtId="169" formatCode="$#,##0.00;($#,##0.00);&quot;&quot;"/>
    <numFmt numFmtId="170" formatCode="0.0%;(0.0%);&quot;&quot;"/>
    <numFmt numFmtId="171" formatCode="0.0"/>
  </numFmts>
  <fonts count="14">
    <font>
      <name val="Calibri"/>
      <family val="2"/>
      <color theme="1"/>
      <sz val="11"/>
      <scheme val="minor"/>
    </font>
    <font>
      <b val="1"/>
      <color rgb="0019273C"/>
      <sz val="14"/>
    </font>
    <font>
      <b val="1"/>
      <color rgb="006B7587"/>
      <sz val="10"/>
    </font>
    <font>
      <b val="1"/>
      <color rgb="0019273C"/>
    </font>
    <font>
      <color rgb="000E1422"/>
    </font>
    <font>
      <color rgb="000000FF"/>
    </font>
    <font>
      <i val="1"/>
      <color rgb="006B7587"/>
      <sz val="9"/>
    </font>
    <font>
      <b val="1"/>
      <color rgb="000E1422"/>
    </font>
    <font>
      <b val="1"/>
      <color rgb="00FFFFFF"/>
    </font>
    <font>
      <color rgb="003F7A5B"/>
    </font>
    <font>
      <i val="1"/>
      <color rgb="009C7B4F"/>
      <sz val="9"/>
    </font>
    <font>
      <b val="1"/>
      <color rgb="00D9DEE7"/>
      <sz val="9"/>
    </font>
    <font>
      <b val="1"/>
      <color rgb="00FFFFFF"/>
      <sz val="20"/>
    </font>
    <font>
      <color rgb="000E1422"/>
      <sz val="8"/>
    </font>
  </fonts>
  <fills count="8">
    <fill>
      <patternFill/>
    </fill>
    <fill>
      <patternFill patternType="gray125"/>
    </fill>
    <fill>
      <patternFill patternType="solid">
        <fgColor rgb="00F2F4F7"/>
      </patternFill>
    </fill>
    <fill>
      <patternFill patternType="solid">
        <fgColor rgb="00EFE3CE"/>
      </patternFill>
    </fill>
    <fill>
      <patternFill patternType="solid">
        <fgColor rgb="0019273C"/>
      </patternFill>
    </fill>
    <fill>
      <patternFill patternType="solid">
        <fgColor rgb="009C7B4F"/>
      </patternFill>
    </fill>
    <fill>
      <patternFill patternType="solid">
        <fgColor rgb="00D9DEE7"/>
      </patternFill>
    </fill>
    <fill>
      <patternFill patternType="solid">
        <fgColor rgb="00243653"/>
      </patternFill>
    </fill>
  </fills>
  <borders count="3">
    <border>
      <left/>
      <right/>
      <top/>
      <bottom/>
      <diagonal/>
    </border>
    <border>
      <left style="thin">
        <color rgb="00D9DEE7"/>
      </left>
      <right style="thin">
        <color rgb="00D9DEE7"/>
      </right>
      <top style="thin">
        <color rgb="00D9DEE7"/>
      </top>
      <bottom style="thin">
        <color rgb="00D9DEE7"/>
      </bottom>
    </border>
    <border>
      <top style="thin">
        <color rgb="00243653"/>
      </top>
    </border>
  </borders>
  <cellStyleXfs count="1">
    <xf numFmtId="0" fontId="0" fillId="0" borderId="0"/>
  </cellStyleXfs>
  <cellXfs count="83">
    <xf numFmtId="0" fontId="0" fillId="0" borderId="0" pivotButton="0" quotePrefix="0" xfId="0"/>
    <xf numFmtId="0" fontId="1" fillId="0" borderId="0" pivotButton="0" quotePrefix="0" xfId="0"/>
    <xf numFmtId="0" fontId="2" fillId="0" borderId="0" pivotButton="0" quotePrefix="0" xfId="0"/>
    <xf numFmtId="0" fontId="4" fillId="0" borderId="0" pivotButton="0" quotePrefix="0" xfId="0"/>
    <xf numFmtId="0" fontId="11" fillId="7" borderId="0" applyAlignment="1" pivotButton="0" quotePrefix="0" xfId="0">
      <alignment horizontal="center" vertical="center"/>
    </xf>
    <xf numFmtId="0" fontId="0" fillId="7" borderId="0" pivotButton="0" quotePrefix="0" xfId="0"/>
    <xf numFmtId="170" fontId="12" fillId="4" borderId="0" applyAlignment="1" pivotButton="0" quotePrefix="0" xfId="0">
      <alignment horizontal="center" vertical="center"/>
    </xf>
    <xf numFmtId="0" fontId="0" fillId="4" borderId="0" pivotButton="0" quotePrefix="0" xfId="0"/>
    <xf numFmtId="167" fontId="12" fillId="4" borderId="0" applyAlignment="1" pivotButton="0" quotePrefix="0" xfId="0">
      <alignment horizontal="center" vertical="center"/>
    </xf>
    <xf numFmtId="168" fontId="12" fillId="4" borderId="0" applyAlignment="1" pivotButton="0" quotePrefix="0" xfId="0">
      <alignment horizontal="center" vertical="center"/>
    </xf>
    <xf numFmtId="169" fontId="12" fillId="4" borderId="0" applyAlignment="1" pivotButton="0" quotePrefix="0" xfId="0">
      <alignment horizontal="center" vertical="center"/>
    </xf>
    <xf numFmtId="0" fontId="3" fillId="2" borderId="0" pivotButton="0" quotePrefix="0" xfId="0"/>
    <xf numFmtId="0" fontId="0" fillId="2" borderId="0" pivotButton="0" quotePrefix="0" xfId="0"/>
    <xf numFmtId="0" fontId="4" fillId="0" borderId="1" pivotButton="0" quotePrefix="0" xfId="0"/>
    <xf numFmtId="164" fontId="4" fillId="0" borderId="1" applyAlignment="1" pivotButton="0" quotePrefix="0" xfId="0">
      <alignment horizontal="right" vertical="center"/>
    </xf>
    <xf numFmtId="168" fontId="4" fillId="0" borderId="1" applyAlignment="1" pivotButton="0" quotePrefix="0" xfId="0">
      <alignment horizontal="right" vertical="center"/>
    </xf>
    <xf numFmtId="169" fontId="4" fillId="0" borderId="1" applyAlignment="1" pivotButton="0" quotePrefix="0" xfId="0">
      <alignment horizontal="right" vertical="center"/>
    </xf>
    <xf numFmtId="170" fontId="4" fillId="0" borderId="1" applyAlignment="1" pivotButton="0" quotePrefix="0" xfId="0">
      <alignment horizontal="right" vertical="center"/>
    </xf>
    <xf numFmtId="1" fontId="4" fillId="0" borderId="1" applyAlignment="1" pivotButton="0" quotePrefix="0" xfId="0">
      <alignment horizontal="right" vertical="center"/>
    </xf>
    <xf numFmtId="165" fontId="4" fillId="0" borderId="1" applyAlignment="1" pivotButton="0" quotePrefix="0" xfId="0">
      <alignment horizontal="right" vertical="center"/>
    </xf>
    <xf numFmtId="167" fontId="4" fillId="0" borderId="1" applyAlignment="1" pivotButton="0" quotePrefix="0" xfId="0">
      <alignment horizontal="right" vertical="center"/>
    </xf>
    <xf numFmtId="0" fontId="4" fillId="0" borderId="1" applyAlignment="1" pivotButton="0" quotePrefix="0" xfId="0">
      <alignment horizontal="center" vertical="center"/>
    </xf>
    <xf numFmtId="0" fontId="7" fillId="0" borderId="0" pivotButton="0" quotePrefix="0" xfId="0"/>
    <xf numFmtId="164" fontId="5" fillId="0" borderId="0" pivotButton="0" quotePrefix="0" xfId="0"/>
    <xf numFmtId="0" fontId="6" fillId="0" borderId="0" applyAlignment="1" pivotButton="0" quotePrefix="0" xfId="0">
      <alignment vertical="center" wrapText="1"/>
    </xf>
    <xf numFmtId="1" fontId="5" fillId="0" borderId="0" pivotButton="0" quotePrefix="0" xfId="0"/>
    <xf numFmtId="1" fontId="5" fillId="3" borderId="0" pivotButton="0" quotePrefix="0" xfId="0"/>
    <xf numFmtId="165" fontId="5" fillId="0" borderId="0" pivotButton="0" quotePrefix="0" xfId="0"/>
    <xf numFmtId="164" fontId="4" fillId="0" borderId="0" pivotButton="0" quotePrefix="0" xfId="0"/>
    <xf numFmtId="166" fontId="4" fillId="0" borderId="0" pivotButton="0" quotePrefix="0" xfId="0"/>
    <xf numFmtId="166" fontId="5" fillId="0" borderId="0" pivotButton="0" quotePrefix="0" xfId="0"/>
    <xf numFmtId="1" fontId="4" fillId="0" borderId="0" pivotButton="0" quotePrefix="0" xfId="0"/>
    <xf numFmtId="165" fontId="4" fillId="0" borderId="0" pivotButton="0" quotePrefix="0" xfId="0"/>
    <xf numFmtId="167" fontId="4" fillId="0" borderId="0" pivotButton="0" quotePrefix="0" xfId="0"/>
    <xf numFmtId="165" fontId="5" fillId="3" borderId="0" pivotButton="0" quotePrefix="0" xfId="0"/>
    <xf numFmtId="0" fontId="6" fillId="0" borderId="0" pivotButton="0" quotePrefix="0" xfId="0"/>
    <xf numFmtId="164" fontId="7" fillId="0" borderId="0" pivotButton="0" quotePrefix="0" xfId="0"/>
    <xf numFmtId="0" fontId="5" fillId="0" borderId="0" pivotButton="0" quotePrefix="0" xfId="0"/>
    <xf numFmtId="167" fontId="5" fillId="0" borderId="0" pivotButton="0" quotePrefix="0" xfId="0"/>
    <xf numFmtId="167" fontId="5" fillId="3" borderId="0" pivotButton="0" quotePrefix="0" xfId="0"/>
    <xf numFmtId="168" fontId="4" fillId="0" borderId="0" pivotButton="0" quotePrefix="0" xfId="0"/>
    <xf numFmtId="168" fontId="7" fillId="0" borderId="0" pivotButton="0" quotePrefix="0" xfId="0"/>
    <xf numFmtId="168" fontId="5" fillId="0" borderId="0" pivotButton="0" quotePrefix="0" xfId="0"/>
    <xf numFmtId="0" fontId="8" fillId="4" borderId="0" applyAlignment="1" pivotButton="0" quotePrefix="0" xfId="0">
      <alignment horizontal="left" vertical="center"/>
    </xf>
    <xf numFmtId="0" fontId="8" fillId="4" borderId="0" applyAlignment="1" pivotButton="0" quotePrefix="0" xfId="0">
      <alignment horizontal="center" vertical="center"/>
    </xf>
    <xf numFmtId="164" fontId="5" fillId="0" borderId="0" applyAlignment="1" pivotButton="0" quotePrefix="0" xfId="0">
      <alignment horizontal="center" vertical="center"/>
    </xf>
    <xf numFmtId="166" fontId="4" fillId="0" borderId="0" applyAlignment="1" pivotButton="0" quotePrefix="0" xfId="0">
      <alignment horizontal="center" vertical="center"/>
    </xf>
    <xf numFmtId="168" fontId="5" fillId="0" borderId="0" applyAlignment="1" pivotButton="0" quotePrefix="0" xfId="0">
      <alignment horizontal="center" vertical="center"/>
    </xf>
    <xf numFmtId="0" fontId="4" fillId="0" borderId="0" applyAlignment="1" pivotButton="0" quotePrefix="0" xfId="0">
      <alignment horizontal="center" vertical="center"/>
    </xf>
    <xf numFmtId="1" fontId="5" fillId="0" borderId="0" applyAlignment="1" pivotButton="0" quotePrefix="0" xfId="0">
      <alignment horizontal="center" vertical="center"/>
    </xf>
    <xf numFmtId="170" fontId="9" fillId="0" borderId="0" applyAlignment="1" pivotButton="0" quotePrefix="0" xfId="0">
      <alignment horizontal="center" vertical="center"/>
    </xf>
    <xf numFmtId="166" fontId="9" fillId="0" borderId="0" applyAlignment="1" pivotButton="0" quotePrefix="0" xfId="0">
      <alignment horizontal="center" vertical="center"/>
    </xf>
    <xf numFmtId="0" fontId="7" fillId="0" borderId="2" pivotButton="0" quotePrefix="0" xfId="0"/>
    <xf numFmtId="164" fontId="7" fillId="0" borderId="2" applyAlignment="1" pivotButton="0" quotePrefix="0" xfId="0">
      <alignment horizontal="center" vertical="center"/>
    </xf>
    <xf numFmtId="168" fontId="7" fillId="0" borderId="2" applyAlignment="1" pivotButton="0" quotePrefix="0" xfId="0">
      <alignment horizontal="center" vertical="center"/>
    </xf>
    <xf numFmtId="0" fontId="8" fillId="4" borderId="0" pivotButton="0" quotePrefix="0" xfId="0"/>
    <xf numFmtId="0" fontId="8" fillId="5" borderId="0" applyAlignment="1" pivotButton="0" quotePrefix="0" xfId="0">
      <alignment horizontal="center" vertical="center"/>
    </xf>
    <xf numFmtId="168" fontId="7" fillId="0" borderId="2" pivotButton="0" quotePrefix="0" xfId="0"/>
    <xf numFmtId="164" fontId="7" fillId="0" borderId="2" pivotButton="0" quotePrefix="0" xfId="0"/>
    <xf numFmtId="170" fontId="4" fillId="0" borderId="0" applyAlignment="1" pivotButton="0" quotePrefix="0" xfId="0">
      <alignment horizontal="center" vertical="center"/>
    </xf>
    <xf numFmtId="1" fontId="4" fillId="0" borderId="0" applyAlignment="1" pivotButton="0" quotePrefix="0" xfId="0">
      <alignment horizontal="center" vertical="center"/>
    </xf>
    <xf numFmtId="171" fontId="4" fillId="0" borderId="0" applyAlignment="1" pivotButton="0" quotePrefix="0" xfId="0">
      <alignment horizontal="center" vertical="center"/>
    </xf>
    <xf numFmtId="169" fontId="4" fillId="0" borderId="0" applyAlignment="1" pivotButton="0" quotePrefix="0" xfId="0">
      <alignment horizontal="center" vertical="center"/>
    </xf>
    <xf numFmtId="0" fontId="4" fillId="0" borderId="0" applyAlignment="1" pivotButton="0" quotePrefix="0" xfId="0">
      <alignment vertical="center" wrapText="1"/>
    </xf>
    <xf numFmtId="0" fontId="10" fillId="0" borderId="0" pivotButton="0" quotePrefix="0" xfId="0"/>
    <xf numFmtId="168" fontId="9" fillId="0" borderId="0" pivotButton="0" quotePrefix="0" xfId="0"/>
    <xf numFmtId="164" fontId="9" fillId="0" borderId="0" pivotButton="0" quotePrefix="0" xfId="0"/>
    <xf numFmtId="168" fontId="4" fillId="0" borderId="2" pivotButton="0" quotePrefix="0" xfId="0"/>
    <xf numFmtId="164" fontId="4" fillId="0" borderId="2" pivotButton="0" quotePrefix="0" xfId="0"/>
    <xf numFmtId="0" fontId="7" fillId="6" borderId="0" pivotButton="0" quotePrefix="0" xfId="0"/>
    <xf numFmtId="169" fontId="4" fillId="0" borderId="0" pivotButton="0" quotePrefix="0" xfId="0"/>
    <xf numFmtId="170" fontId="4" fillId="0" borderId="0" pivotButton="0" quotePrefix="0" xfId="0"/>
    <xf numFmtId="167" fontId="4" fillId="0" borderId="0" applyAlignment="1" pivotButton="0" quotePrefix="0" xfId="0">
      <alignment horizontal="center" vertical="center"/>
    </xf>
    <xf numFmtId="0" fontId="7" fillId="0" borderId="0" applyAlignment="1" pivotButton="0" quotePrefix="0" xfId="0">
      <alignment horizontal="center" vertical="center"/>
    </xf>
    <xf numFmtId="165" fontId="7" fillId="0" borderId="0" pivotButton="0" quotePrefix="0" xfId="0"/>
    <xf numFmtId="165" fontId="6" fillId="0" borderId="0" pivotButton="0" quotePrefix="0" xfId="0"/>
    <xf numFmtId="170" fontId="7" fillId="0" borderId="0" applyAlignment="1" pivotButton="0" quotePrefix="0" xfId="0">
      <alignment horizontal="center" vertical="center"/>
    </xf>
    <xf numFmtId="164" fontId="6" fillId="0" borderId="0" pivotButton="0" quotePrefix="0" xfId="0"/>
    <xf numFmtId="170" fontId="4" fillId="0" borderId="1" applyAlignment="1" pivotButton="0" quotePrefix="0" xfId="0">
      <alignment horizontal="center" vertical="center"/>
    </xf>
    <xf numFmtId="165" fontId="4" fillId="0" borderId="1" applyAlignment="1" pivotButton="0" quotePrefix="0" xfId="0">
      <alignment horizontal="center" vertical="center"/>
    </xf>
    <xf numFmtId="168" fontId="7" fillId="0" borderId="1" applyAlignment="1" pivotButton="0" quotePrefix="0" xfId="0">
      <alignment horizontal="center" vertical="center"/>
    </xf>
    <xf numFmtId="0" fontId="7" fillId="0" borderId="0" applyAlignment="1" pivotButton="0" quotePrefix="0" xfId="0">
      <alignment vertical="center" wrapText="1"/>
    </xf>
    <xf numFmtId="0" fontId="13" fillId="0" borderId="0" pivotButton="0" quotePrefix="0" xfId="0"/>
  </cellXfs>
  <cellStyles count="1">
    <cellStyle name="Normal" xfId="0" builtinId="0" hidden="0"/>
  </cellStyles>
  <dxfs count="2">
    <dxf>
      <font>
        <b val="1"/>
        <color rgb="009C0006"/>
      </font>
      <fill>
        <patternFill patternType="solid">
          <fgColor rgb="00FFC7CE"/>
        </patternFill>
      </fill>
    </dxf>
    <dxf>
      <font>
        <b val="1"/>
        <color rgb="00006100"/>
      </font>
      <fill>
        <patternFill patternType="solid">
          <f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NOI Over Time</a:t>
            </a:r>
          </a:p>
        </rich>
      </tx>
    </title>
    <plotArea>
      <lineChart>
        <grouping val="standard"/>
        <ser>
          <idx val="0"/>
          <order val="0"/>
          <spPr>
            <a:ln xmlns:a="http://schemas.openxmlformats.org/drawingml/2006/main" w="28000">
              <a:solidFill>
                <a:srgbClr val="243653"/>
              </a:solidFill>
              <a:prstDash val="solid"/>
            </a:ln>
          </spPr>
          <marker>
            <symbol val="none"/>
            <spPr>
              <a:ln xmlns:a="http://schemas.openxmlformats.org/drawingml/2006/main">
                <a:prstDash val="solid"/>
              </a:ln>
            </spPr>
          </marker>
          <cat>
            <numRef>
              <f>'Cash Flow'!$D$4:$M$4</f>
            </numRef>
          </cat>
          <val>
            <numRef>
              <f>'Cash Flow'!$D$21:$M$21</f>
            </numRef>
          </val>
          <smooth val="0"/>
        </ser>
        <axId val="10"/>
        <axId val="100"/>
      </lineChart>
      <catAx>
        <axId val="10"/>
        <scaling>
          <orientation val="minMax"/>
        </scaling>
        <delete val="0"/>
        <axPos val="l"/>
        <majorTickMark val="none"/>
        <minorTickMark val="none"/>
        <tickLblPos val="low"/>
        <crossAx val="100"/>
        <lblOffset val="100"/>
      </catAx>
      <valAx>
        <axId val="100"/>
        <scaling>
          <orientation val="minMax"/>
        </scaling>
        <delete val="0"/>
        <axPos val="l"/>
        <majorGridlines/>
        <numFmt formatCode="#,##0" sourceLinked="0"/>
        <majorTickMark val="none"/>
        <minorTickMark val="none"/>
        <crossAx val="10"/>
      </valAx>
    </plotArea>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Tenant SF Mix</a:t>
            </a:r>
          </a:p>
        </rich>
      </tx>
    </title>
    <plotArea>
      <doughnutChart>
        <varyColors val="1"/>
        <ser>
          <idx val="0"/>
          <order val="0"/>
          <tx>
            <strRef>
              <f>'Rent Roll'!C3</f>
            </strRef>
          </tx>
          <spPr>
            <a:ln xmlns:a="http://schemas.openxmlformats.org/drawingml/2006/main">
              <a:prstDash val="solid"/>
            </a:ln>
          </spPr>
          <cat>
            <numRef>
              <f>'Rent Roll'!$B$4</f>
            </numRef>
          </cat>
          <val>
            <numRef>
              <f>'Rent Roll'!$C$4</f>
            </numRef>
          </val>
        </ser>
        <dLbls>
          <showLegendKey val="0"/>
          <showVal val="0"/>
          <showCatName val="0"/>
          <showSerName val="0"/>
          <showPercent val="1"/>
        </dLbls>
        <firstSliceAng val="0"/>
        <holeSize val="10"/>
      </doughnutChart>
    </plotArea>
    <legend>
      <legendPos val="b"/>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Levered Cash Flow by Year</a:t>
            </a:r>
          </a:p>
        </rich>
      </tx>
    </title>
    <plotArea>
      <barChart>
        <barDir val="col"/>
        <grouping val="clustered"/>
        <ser>
          <idx val="0"/>
          <order val="0"/>
          <spPr>
            <a:solidFill xmlns:a="http://schemas.openxmlformats.org/drawingml/2006/main">
              <a:srgbClr val="9C7B4F"/>
            </a:solidFill>
            <a:ln xmlns:a="http://schemas.openxmlformats.org/drawingml/2006/main">
              <a:prstDash val="solid"/>
            </a:ln>
          </spPr>
          <cat>
            <numRef>
              <f>'Cash Flow'!$D$4:$M$4</f>
            </numRef>
          </cat>
          <val>
            <numRef>
              <f>'Cash Flow'!$D$37:$M$37</f>
            </numRef>
          </val>
        </ser>
        <gapWidth val="150"/>
        <axId val="10"/>
        <axId val="100"/>
      </barChart>
      <catAx>
        <axId val="10"/>
        <scaling>
          <orientation val="minMax"/>
        </scaling>
        <delete val="0"/>
        <axPos val="l"/>
        <majorTickMark val="none"/>
        <minorTickMark val="none"/>
        <tickLblPos val="low"/>
        <crossAx val="100"/>
        <lblOffset val="100"/>
      </catAx>
      <valAx>
        <axId val="100"/>
        <scaling>
          <orientation val="minMax"/>
        </scaling>
        <delete val="0"/>
        <axPos val="l"/>
        <majorGridlines/>
        <numFmt formatCode="#,##0" sourceLinked="0"/>
        <majorTickMark val="none"/>
        <minorTickMark val="none"/>
        <crossAx val="10"/>
      </valAx>
    </plotArea>
    <plotVisOnly val="1"/>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pPr>
              <a:defRPr/>
            </a:pPr>
            <a:r>
              <a:t>Cash-on-Cash by Year (levered)</a:t>
            </a:r>
          </a:p>
        </rich>
      </tx>
    </title>
    <plotArea>
      <barChart>
        <barDir val="col"/>
        <grouping val="clustered"/>
        <ser>
          <idx val="0"/>
          <order val="0"/>
          <spPr>
            <a:solidFill xmlns:a="http://schemas.openxmlformats.org/drawingml/2006/main">
              <a:srgbClr val="3F7A5B"/>
            </a:solidFill>
            <a:ln xmlns:a="http://schemas.openxmlformats.org/drawingml/2006/main">
              <a:prstDash val="solid"/>
            </a:ln>
          </spPr>
          <cat>
            <numRef>
              <f>'Cash Flow'!$D$4:$M$4</f>
            </numRef>
          </cat>
          <val>
            <numRef>
              <f>'Cash Flow'!$D$38:$M$38</f>
            </numRef>
          </val>
        </ser>
        <gapWidth val="150"/>
        <axId val="10"/>
        <axId val="100"/>
      </barChart>
      <catAx>
        <axId val="10"/>
        <scaling>
          <orientation val="minMax"/>
        </scaling>
        <delete val="0"/>
        <axPos val="l"/>
        <majorTickMark val="none"/>
        <minorTickMark val="none"/>
        <tickLblPos val="low"/>
        <crossAx val="100"/>
        <lblOffset val="100"/>
      </catAx>
      <valAx>
        <axId val="100"/>
        <scaling>
          <orientation val="minMax"/>
        </scaling>
        <delete val="0"/>
        <axPos val="l"/>
        <majorGridlines/>
        <numFmt formatCode="0.0%" sourceLinked="0"/>
        <majorTickMark val="none"/>
        <minorTickMark val="none"/>
        <crossAx val="10"/>
      </valAx>
    </plotArea>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 Type="http://schemas.openxmlformats.org/officeDocument/2006/relationships/chart" Target="/xl/charts/chart4.xml" Id="rId4"/><Relationship Type="http://schemas.openxmlformats.org/officeDocument/2006/relationships/image" Target="/xl/media/image1.png" Id="rId5"/></Relationships>
</file>

<file path=xl/drawings/drawing1.xml><?xml version="1.0" encoding="utf-8"?>
<wsDr xmlns="http://schemas.openxmlformats.org/drawingml/2006/spreadsheetDrawing">
  <oneCellAnchor>
    <from>
      <col>4</col>
      <colOff>0</colOff>
      <row>9</row>
      <rowOff>0</rowOff>
    </from>
    <ext cx="4176000" cy="2628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13</col>
      <colOff>0</colOff>
      <row>9</row>
      <rowOff>0</rowOff>
    </from>
    <ext cx="4176000" cy="2628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4</col>
      <colOff>0</colOff>
      <row>26</row>
      <rowOff>0</rowOff>
    </from>
    <ext cx="4176000" cy="2628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oneCellAnchor>
    <from>
      <col>13</col>
      <colOff>0</colOff>
      <row>26</row>
      <rowOff>0</rowOff>
    </from>
    <ext cx="4176000" cy="2628000"/>
    <graphicFrame>
      <nvGraphicFramePr>
        <cNvPr id="4" name="Chart 4"/>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graphicFrame>
    <clientData/>
  </oneCellAnchor>
  <oneCellAnchor>
    <from>
      <col>18</col>
      <colOff>0</colOff>
      <row>0</row>
      <rowOff>0</rowOff>
    </from>
    <ext cx="809625" cy="552450"/>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fitToPage="1"/>
  </sheetPr>
  <dimension ref="B1:W43"/>
  <sheetViews>
    <sheetView showGridLines="0" workbookViewId="0">
      <selection activeCell="A1" sqref="A1"/>
    </sheetView>
  </sheetViews>
  <sheetFormatPr baseColWidth="8" defaultRowHeight="15"/>
  <cols>
    <col width="2" customWidth="1" min="1" max="1"/>
    <col width="24" customWidth="1" min="2" max="2"/>
    <col width="13" customWidth="1" min="3" max="3"/>
    <col width="2.5" customWidth="1" min="4" max="4"/>
    <col width="8.199999999999999" customWidth="1" min="5" max="5"/>
    <col width="8.199999999999999" customWidth="1" min="6" max="6"/>
    <col width="8.199999999999999" customWidth="1" min="7" max="7"/>
    <col width="8.199999999999999" customWidth="1" min="8" max="8"/>
    <col width="8.199999999999999" customWidth="1" min="9" max="9"/>
    <col width="8.199999999999999" customWidth="1" min="10" max="10"/>
    <col width="8.199999999999999" customWidth="1" min="11" max="11"/>
    <col width="8.199999999999999" customWidth="1" min="12" max="12"/>
    <col width="8.199999999999999" customWidth="1" min="13" max="13"/>
    <col width="8.199999999999999" customWidth="1" min="14" max="14"/>
    <col width="8.199999999999999" customWidth="1" min="15" max="15"/>
    <col width="8.199999999999999" customWidth="1" min="16" max="16"/>
    <col width="8.199999999999999" customWidth="1" min="17" max="17"/>
    <col width="8.199999999999999" customWidth="1" min="18" max="18"/>
    <col width="8.199999999999999" customWidth="1" min="19" max="19"/>
    <col width="8.199999999999999" customWidth="1" min="20" max="20"/>
    <col width="8.199999999999999" customWidth="1" min="21" max="21"/>
    <col width="8.199999999999999" customWidth="1" min="22" max="22"/>
    <col width="8.199999999999999" customWidth="1" min="23" max="23"/>
  </cols>
  <sheetData>
    <row r="1">
      <c r="B1" s="1" t="inlineStr">
        <is>
          <t>Sample Industrial — Capistrano Toolkit Demo — Underwriting Summary</t>
        </is>
      </c>
    </row>
    <row r="2">
      <c r="B2" s="2" t="inlineStr">
        <is>
          <t>Single-tenant absolute NNN industrial · 9 years remaining contractual term + 2x5-yr options</t>
        </is>
      </c>
    </row>
    <row r="3">
      <c r="B3" s="3" t="inlineStr">
        <is>
          <t>85,000 SF tilt-up industrial · Built 2014 · 28' clear · ESFR</t>
        </is>
      </c>
    </row>
    <row r="4">
      <c r="B4" s="3" t="inlineStr">
        <is>
          <t>Acme Industrial Co. · OpCo guaranty · National industrial distributor (illustrative)</t>
        </is>
      </c>
    </row>
    <row r="5" ht="6" customHeight="1"/>
    <row r="6">
      <c r="E6" s="4" t="inlineStr">
        <is>
          <t>LEVERED IRR</t>
        </is>
      </c>
      <c r="F6" s="5" t="n"/>
      <c r="G6" s="5" t="n"/>
      <c r="H6" s="4" t="inlineStr">
        <is>
          <t>EQUITY MULTIPLE</t>
        </is>
      </c>
      <c r="I6" s="5" t="n"/>
      <c r="J6" s="5" t="n"/>
      <c r="K6" s="4" t="inlineStr">
        <is>
          <t>GOING-IN CAP</t>
        </is>
      </c>
      <c r="L6" s="5" t="n"/>
      <c r="M6" s="5" t="n"/>
      <c r="N6" s="4" t="inlineStr">
        <is>
          <t>YEAR 1 NOI</t>
        </is>
      </c>
      <c r="O6" s="5" t="n"/>
      <c r="P6" s="5" t="n"/>
      <c r="Q6" s="4" t="inlineStr">
        <is>
          <t>PRICE / SF</t>
        </is>
      </c>
      <c r="R6" s="5" t="n"/>
      <c r="S6" s="5" t="n"/>
    </row>
    <row r="7">
      <c r="E7" s="6">
        <f>Returns!C9</f>
        <v/>
      </c>
      <c r="F7" s="7" t="n"/>
      <c r="G7" s="7" t="n"/>
      <c r="H7" s="8">
        <f>Returns!C10</f>
        <v/>
      </c>
      <c r="I7" s="7" t="n"/>
      <c r="J7" s="7" t="n"/>
      <c r="K7" s="6">
        <f>'Cash Flow'!D21/Assumptions!$C$9</f>
        <v/>
      </c>
      <c r="L7" s="7" t="n"/>
      <c r="M7" s="7" t="n"/>
      <c r="N7" s="9">
        <f>'Cash Flow'!D21</f>
        <v/>
      </c>
      <c r="O7" s="7" t="n"/>
      <c r="P7" s="7" t="n"/>
      <c r="Q7" s="10">
        <f>Assumptions!$C$13</f>
        <v/>
      </c>
      <c r="R7" s="7" t="n"/>
      <c r="S7" s="7" t="n"/>
    </row>
    <row r="8">
      <c r="E8" s="7" t="n"/>
      <c r="F8" s="7" t="n"/>
      <c r="G8" s="7" t="n"/>
      <c r="H8" s="7" t="n"/>
      <c r="I8" s="7" t="n"/>
      <c r="J8" s="7" t="n"/>
      <c r="K8" s="7" t="n"/>
      <c r="L8" s="7" t="n"/>
      <c r="M8" s="7" t="n"/>
      <c r="N8" s="7" t="n"/>
      <c r="O8" s="7" t="n"/>
      <c r="P8" s="7" t="n"/>
      <c r="Q8" s="7" t="n"/>
      <c r="R8" s="7" t="n"/>
      <c r="S8" s="7" t="n"/>
    </row>
    <row r="9" ht="6" customHeight="1"/>
    <row r="10">
      <c r="B10" s="11" t="inlineStr">
        <is>
          <t>DEAL SNAPSHOT</t>
        </is>
      </c>
      <c r="C10" s="12" t="inlineStr"/>
    </row>
    <row r="11">
      <c r="B11" s="13" t="inlineStr">
        <is>
          <t>Building SF</t>
        </is>
      </c>
      <c r="C11" s="14">
        <f>Assumptions!$C$4</f>
        <v/>
      </c>
    </row>
    <row r="12">
      <c r="B12" s="13" t="inlineStr">
        <is>
          <t>Purchase Price</t>
        </is>
      </c>
      <c r="C12" s="15">
        <f>Assumptions!$C$9</f>
        <v/>
      </c>
    </row>
    <row r="13">
      <c r="B13" s="13" t="inlineStr">
        <is>
          <t>Price per SF</t>
        </is>
      </c>
      <c r="C13" s="16">
        <f>Assumptions!$C$13</f>
        <v/>
      </c>
    </row>
    <row r="14">
      <c r="B14" s="13" t="inlineStr">
        <is>
          <t>Total Equity</t>
        </is>
      </c>
      <c r="C14" s="15">
        <f>Assumptions!$C$56</f>
        <v/>
      </c>
    </row>
    <row r="15">
      <c r="B15" s="13" t="inlineStr">
        <is>
          <t>LTV</t>
        </is>
      </c>
      <c r="C15" s="17">
        <f>Assumptions!$C$48</f>
        <v/>
      </c>
    </row>
    <row r="16">
      <c r="B16" s="13" t="inlineStr">
        <is>
          <t>Hold Period (yrs)</t>
        </is>
      </c>
      <c r="C16" s="18">
        <f>Assumptions!$C$6</f>
        <v/>
      </c>
    </row>
    <row r="17">
      <c r="B17" s="13" t="inlineStr">
        <is>
          <t>Year 1 NOI</t>
        </is>
      </c>
      <c r="C17" s="15">
        <f>'Cash Flow'!D21</f>
        <v/>
      </c>
    </row>
    <row r="18">
      <c r="B18" s="13" t="inlineStr">
        <is>
          <t>Going-In Cap</t>
        </is>
      </c>
      <c r="C18" s="19">
        <f>'Cash Flow'!D21/Assumptions!$C$9</f>
        <v/>
      </c>
    </row>
    <row r="19">
      <c r="B19" s="13" t="inlineStr">
        <is>
          <t>Exit Cap</t>
        </is>
      </c>
      <c r="C19" s="19">
        <f>Assumptions!$C$44</f>
        <v/>
      </c>
    </row>
    <row r="20">
      <c r="B20" s="13" t="inlineStr">
        <is>
          <t>Exit Sale Price</t>
        </is>
      </c>
      <c r="C20" s="15">
        <f>'Cash Flow'!C43</f>
        <v/>
      </c>
    </row>
    <row r="21">
      <c r="B21" s="13" t="inlineStr">
        <is>
          <t>Exit Price / SF</t>
        </is>
      </c>
      <c r="C21" s="16">
        <f>'Cash Flow'!C43/Assumptions!$C$4</f>
        <v/>
      </c>
    </row>
    <row r="22">
      <c r="B22" s="13" t="inlineStr">
        <is>
          <t>Levered IRR</t>
        </is>
      </c>
      <c r="C22" s="19">
        <f>Returns!C9</f>
        <v/>
      </c>
    </row>
    <row r="23">
      <c r="B23" s="13" t="inlineStr">
        <is>
          <t>Levered EM</t>
        </is>
      </c>
      <c r="C23" s="20">
        <f>Returns!C10</f>
        <v/>
      </c>
    </row>
    <row r="24">
      <c r="B24" s="13" t="inlineStr">
        <is>
          <t>Year 1 CoC</t>
        </is>
      </c>
      <c r="C24" s="19">
        <f>Returns!C12</f>
        <v/>
      </c>
    </row>
    <row r="25">
      <c r="B25" s="13" t="inlineStr">
        <is>
          <t>Year 1 DSCR</t>
        </is>
      </c>
      <c r="C25" s="20">
        <f>IFERROR(Debt!D13,"N/A")</f>
        <v/>
      </c>
    </row>
    <row r="27">
      <c r="B27" s="11" t="inlineStr">
        <is>
          <t>CHECKS</t>
        </is>
      </c>
      <c r="C27" s="12" t="inlineStr"/>
    </row>
    <row r="28">
      <c r="B28" s="13" t="inlineStr">
        <is>
          <t>Min DSCR over hold ≥ floor</t>
        </is>
      </c>
      <c r="C28" s="21">
        <f>IF(Assumptions!$C$53=0,"n/a",IF(MIN(OFFSET(Debt!$D$13,0,0,1,Assumptions!$C$6))&gt;=Assumptions!$C$71,"PASS","FLAG"))</f>
        <v/>
      </c>
    </row>
    <row r="29">
      <c r="B29" s="13" t="inlineStr">
        <is>
          <t>Leverage (cap vs loan constant)</t>
        </is>
      </c>
      <c r="C29" s="21">
        <f>IF(Assumptions!$C$53=0,"n/a",IF('Cash Flow'!D21/Assumptions!$C$9&lt;(-PMT(Assumptions!$C$49/12,Assumptions!$C$50*12,1)*12),"FLAG","PASS"))</f>
        <v/>
      </c>
    </row>
    <row r="30">
      <c r="B30" s="13" t="inlineStr">
        <is>
          <t>Exit cap ≥ going-in cap</t>
        </is>
      </c>
      <c r="C30" s="21">
        <f>IF(Assumptions!$C$44&gt;='Cash Flow'!D21/Assumptions!$C$9,"PASS","FLAG")</f>
        <v/>
      </c>
    </row>
    <row r="31">
      <c r="B31" s="13" t="inlineStr">
        <is>
          <t>Levered IRR ≥ target</t>
        </is>
      </c>
      <c r="C31" s="21">
        <f>IF(Returns!C9&gt;=Assumptions!$C$70,"PASS","BELOW")</f>
        <v/>
      </c>
    </row>
    <row r="32">
      <c r="B32" s="13" t="inlineStr">
        <is>
          <t>Y1 rent ties to in-place</t>
        </is>
      </c>
      <c r="C32" s="21">
        <f>IF(ABS('Cash Flow'!D7-Assumptions!$C$62)&lt;1,"PASS","CHECK")</f>
        <v/>
      </c>
    </row>
    <row r="33">
      <c r="B33" s="13" t="inlineStr">
        <is>
          <t>Model NOI vs OM NOI</t>
        </is>
      </c>
      <c r="C33" s="21">
        <f>IF(Assumptions!$C$95=0,"n/a",IF(ABS('Cash Flow'!D21-Assumptions!$C$95)/Assumptions!$C$95&lt;0.03,"PASS","CHECK"))</f>
        <v/>
      </c>
    </row>
    <row r="34">
      <c r="B34" s="13" t="inlineStr">
        <is>
          <t>Model cap vs OM cap</t>
        </is>
      </c>
      <c r="C34" s="21">
        <f>IF(Assumptions!$C$96=0,"n/a",IF(ABS('Cash Flow'!D21/Assumptions!$C$9-Assumptions!$C$96)&lt;0.0025,"PASS","CHECK"))</f>
        <v/>
      </c>
    </row>
    <row r="35">
      <c r="B35" s="13" t="inlineStr">
        <is>
          <t>Loan balance at exit (balloon)</t>
        </is>
      </c>
      <c r="C35" s="21">
        <f>IF(Assumptions!$C$53=0,"none",TEXT(-'Cash Flow'!$C$46,"$#,##0"))</f>
        <v/>
      </c>
    </row>
    <row r="42">
      <c r="B42" s="11" t="inlineStr">
        <is>
          <t>RECOMMENDATION</t>
        </is>
      </c>
      <c r="C42" s="12" t="n"/>
      <c r="D42" s="12" t="n"/>
      <c r="E42" s="12" t="n"/>
      <c r="F42" s="12" t="n"/>
      <c r="G42" s="12" t="n"/>
      <c r="H42" s="12" t="n"/>
      <c r="I42" s="12" t="n"/>
      <c r="J42" s="12" t="n"/>
      <c r="K42" s="12" t="n"/>
      <c r="L42" s="12" t="n"/>
      <c r="M42" s="12" t="n"/>
      <c r="N42" s="12" t="n"/>
      <c r="O42" s="12" t="n"/>
      <c r="P42" s="12" t="n"/>
      <c r="Q42" s="12" t="n"/>
      <c r="R42" s="12" t="n"/>
      <c r="S42" s="12" t="n"/>
      <c r="T42" s="12" t="n"/>
      <c r="U42" s="12" t="n"/>
      <c r="V42" s="12" t="n"/>
      <c r="W42" s="12" t="n"/>
    </row>
    <row r="43">
      <c r="B43" s="22">
        <f>"Bid up to "&amp;TEXT(Sensitivity!$C$27,"$#,##0")&amp;" ("&amp;TEXT(Sensitivity!$C$28,"0.0%")&amp;" going-in cap) to hit the "&amp;TEXT(Assumptions!$C$70,"0.0%")&amp;" target levered IRR.  At the current price ("&amp;TEXT(Assumptions!$C$9,"$#,##0")&amp;"), levered IRR is "&amp;TEXT(Returns!C9,"0.0%")&amp;" and the equity multiple is "&amp;TEXT(Returns!C10,"0.00")&amp;"x."</f>
        <v/>
      </c>
    </row>
  </sheetData>
  <mergeCells count="11">
    <mergeCell ref="H7:J8"/>
    <mergeCell ref="N7:P8"/>
    <mergeCell ref="Q7:S8"/>
    <mergeCell ref="K6:M6"/>
    <mergeCell ref="K7:M8"/>
    <mergeCell ref="N6:P6"/>
    <mergeCell ref="B43:W43"/>
    <mergeCell ref="Q6:S6"/>
    <mergeCell ref="E6:G6"/>
    <mergeCell ref="E7:G8"/>
    <mergeCell ref="H6:J6"/>
  </mergeCells>
  <conditionalFormatting sqref="C28:C35">
    <cfRule type="expression" priority="1" dxfId="0">
      <formula>OR(ISNUMBER(SEARCH("FLAG",C28)),ISNUMBER(SEARCH("BELOW",C28)),ISNUMBER(SEARCH("CHECK",C28)))</formula>
    </cfRule>
    <cfRule type="expression" priority="2" dxfId="1">
      <formula>ISNUMBER(SEARCH("PASS",C28))</formula>
    </cfRule>
  </conditionalFormatting>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drawing xmlns:r="http://schemas.openxmlformats.org/officeDocument/2006/relationships" r:id="rId1"/>
</worksheet>
</file>

<file path=xl/worksheets/sheet2.xml><?xml version="1.0" encoding="utf-8"?>
<worksheet xmlns="http://schemas.openxmlformats.org/spreadsheetml/2006/main">
  <sheetPr>
    <outlinePr summaryBelow="1" summaryRight="1"/>
    <pageSetUpPr fitToPage="1"/>
  </sheetPr>
  <dimension ref="B1:K96"/>
  <sheetViews>
    <sheetView showGridLines="0" workbookViewId="0">
      <pane xSplit="1" ySplit="2" topLeftCell="B3" activePane="bottomRight" state="frozen"/>
      <selection pane="topRight"/>
      <selection pane="bottomLeft"/>
      <selection pane="bottomRight" activeCell="A1" sqref="A1"/>
    </sheetView>
  </sheetViews>
  <sheetFormatPr baseColWidth="8" defaultRowHeight="15"/>
  <cols>
    <col width="42" customWidth="1" min="2" max="2"/>
    <col width="15" customWidth="1" min="3" max="3"/>
    <col width="2" customWidth="1" min="4" max="4"/>
    <col width="52" customWidth="1" min="5" max="5"/>
    <col width="2" customWidth="1" min="6" max="6"/>
    <col width="30" customWidth="1" min="8" max="8"/>
    <col width="14" customWidth="1" min="9" max="9"/>
    <col width="12" customWidth="1" min="10" max="10"/>
    <col width="12" customWidth="1" min="11" max="11"/>
  </cols>
  <sheetData>
    <row r="1">
      <c r="B1" s="1" t="inlineStr">
        <is>
          <t>Sample Industrial — Capistrano Toolkit Demo — Underwriting Assumptions</t>
        </is>
      </c>
    </row>
    <row r="2">
      <c r="B2" s="2" t="inlineStr">
        <is>
          <t>Capistrano Toolkit — Demo Configuration (fictional deal for illustrative purposes only)</t>
        </is>
      </c>
      <c r="H2" s="11" t="inlineStr">
        <is>
          <t>LIVE OUTPUTS  (recalc on any input change)</t>
        </is>
      </c>
      <c r="I2" s="12" t="inlineStr"/>
      <c r="J2" s="12" t="inlineStr"/>
      <c r="K2" s="12" t="inlineStr"/>
    </row>
    <row r="3">
      <c r="B3" s="11" t="inlineStr">
        <is>
          <t>PROPERTY FACTS</t>
        </is>
      </c>
      <c r="C3" s="12" t="inlineStr"/>
      <c r="E3" s="12" t="inlineStr"/>
      <c r="H3" s="13" t="inlineStr">
        <is>
          <t>Levered IRR</t>
        </is>
      </c>
      <c r="I3" s="19">
        <f>Returns!C9</f>
        <v/>
      </c>
    </row>
    <row r="4">
      <c r="B4" s="3" t="inlineStr">
        <is>
          <t>Total Building SF</t>
        </is>
      </c>
      <c r="C4" s="23" t="n">
        <v>85000</v>
      </c>
      <c r="E4" s="24" t="inlineStr">
        <is>
          <t>6.20</t>
        </is>
      </c>
      <c r="H4" s="13" t="inlineStr">
        <is>
          <t>Levered Equity Multiple</t>
        </is>
      </c>
      <c r="I4" s="20">
        <f>Returns!C10</f>
        <v/>
      </c>
    </row>
    <row r="5">
      <c r="B5" s="3" t="inlineStr">
        <is>
          <t>Acquisition Calendar Year (Year 1)</t>
        </is>
      </c>
      <c r="C5" s="25" t="n">
        <v>2027</v>
      </c>
      <c r="E5" s="24" t="inlineStr">
        <is>
          <t>First full operating year of hold</t>
        </is>
      </c>
      <c r="H5" s="13" t="inlineStr">
        <is>
          <t>Unlevered IRR</t>
        </is>
      </c>
      <c r="I5" s="19">
        <f>Returns!C16</f>
        <v/>
      </c>
    </row>
    <row r="6">
      <c r="B6" s="3" t="inlineStr">
        <is>
          <t>Hold Period (years)</t>
        </is>
      </c>
      <c r="C6" s="26" t="n">
        <v>10</v>
      </c>
      <c r="E6" s="24" t="inlineStr">
        <is>
          <t>LIVE driver — change me; returns recalc (3–14)</t>
        </is>
      </c>
      <c r="H6" s="13" t="inlineStr">
        <is>
          <t>Year 1 NOI</t>
        </is>
      </c>
      <c r="I6" s="15">
        <f>'Cash Flow'!D21</f>
        <v/>
      </c>
    </row>
    <row r="7">
      <c r="H7" s="13" t="inlineStr">
        <is>
          <t>Going-In Cap</t>
        </is>
      </c>
      <c r="I7" s="19">
        <f>'Cash Flow'!D21/Assumptions!$C$9</f>
        <v/>
      </c>
    </row>
    <row r="8">
      <c r="B8" s="11" t="inlineStr">
        <is>
          <t>PRICING (OM Ask = $12,000,000)</t>
        </is>
      </c>
      <c r="C8" s="12" t="inlineStr"/>
      <c r="E8" s="12" t="inlineStr"/>
      <c r="H8" s="13" t="inlineStr">
        <is>
          <t>Exit Cap</t>
        </is>
      </c>
      <c r="I8" s="19">
        <f>Assumptions!$C$44</f>
        <v/>
      </c>
    </row>
    <row r="9">
      <c r="B9" s="3" t="inlineStr">
        <is>
          <t>Purchase Price</t>
        </is>
      </c>
      <c r="C9" s="23" t="n">
        <v>11750000</v>
      </c>
      <c r="E9" s="24" t="inlineStr">
        <is>
          <t>Flex to your bid.</t>
        </is>
      </c>
      <c r="H9" s="13" t="inlineStr">
        <is>
          <t>Exit Sale Price</t>
        </is>
      </c>
      <c r="I9" s="15">
        <f>'Cash Flow'!C43</f>
        <v/>
      </c>
    </row>
    <row r="10">
      <c r="B10" s="3" t="inlineStr">
        <is>
          <t>Acquisition Costs (% of PP)</t>
        </is>
      </c>
      <c r="C10" s="27" t="n">
        <v>0.01</v>
      </c>
      <c r="E10" s="24" t="inlineStr">
        <is>
          <t>Closing, legal, DD, title</t>
        </is>
      </c>
      <c r="H10" s="13" t="inlineStr">
        <is>
          <t>Exit Price / SF</t>
        </is>
      </c>
      <c r="I10" s="16">
        <f>'Cash Flow'!C43/Assumptions!$C$4</f>
        <v/>
      </c>
    </row>
    <row r="11">
      <c r="B11" s="3" t="inlineStr">
        <is>
          <t>Acquisition Costs ($)</t>
        </is>
      </c>
      <c r="C11" s="28">
        <f>C9*C10</f>
        <v/>
      </c>
      <c r="H11" s="13" t="inlineStr">
        <is>
          <t>Year 1 Cash-on-Cash</t>
        </is>
      </c>
      <c r="I11" s="19">
        <f>Returns!C12</f>
        <v/>
      </c>
    </row>
    <row r="12">
      <c r="B12" s="3" t="inlineStr">
        <is>
          <t>Total Acquisition Basis</t>
        </is>
      </c>
      <c r="C12" s="28">
        <f>C9+C11</f>
        <v/>
      </c>
      <c r="H12" s="13" t="inlineStr">
        <is>
          <t>Total Equity</t>
        </is>
      </c>
      <c r="I12" s="15">
        <f>Assumptions!$C$56</f>
        <v/>
      </c>
    </row>
    <row r="13">
      <c r="B13" s="3" t="inlineStr">
        <is>
          <t>Price per SF</t>
        </is>
      </c>
      <c r="C13" s="29">
        <f>C9/C4</f>
        <v/>
      </c>
    </row>
    <row r="14">
      <c r="H14" s="11" t="inlineStr">
        <is>
          <t>YEAR-BY-YEAR (levered)</t>
        </is>
      </c>
      <c r="I14" s="12" t="inlineStr"/>
      <c r="J14" s="12" t="inlineStr"/>
      <c r="K14" s="12" t="inlineStr"/>
    </row>
    <row r="15">
      <c r="B15" s="11" t="inlineStr">
        <is>
          <t>REVENUE</t>
        </is>
      </c>
      <c r="C15" s="12" t="inlineStr"/>
      <c r="E15" s="12" t="inlineStr"/>
      <c r="H15" s="22" t="inlineStr">
        <is>
          <t>Year</t>
        </is>
      </c>
      <c r="I15" s="22" t="inlineStr">
        <is>
          <t>Cash Flow</t>
        </is>
      </c>
      <c r="J15" s="22" t="inlineStr">
        <is>
          <t>CoC</t>
        </is>
      </c>
      <c r="K15" s="22" t="inlineStr">
        <is>
          <t>DSCR</t>
        </is>
      </c>
    </row>
    <row r="16">
      <c r="B16" s="3" t="inlineStr">
        <is>
          <t>Market Rent (Year 1, $/SF NNN)</t>
        </is>
      </c>
      <c r="C16" s="30" t="n">
        <v>11.5</v>
      </c>
      <c r="H16" s="31">
        <f>IF(1&lt;= Assumptions!$C$6,1,"")</f>
        <v/>
      </c>
      <c r="I16" s="28">
        <f>IF(1&lt;=Assumptions!$C$6,'Cash Flow'!D37,"")</f>
        <v/>
      </c>
      <c r="J16" s="32">
        <f>IF(1&lt;=Assumptions!$C$6,'Cash Flow'!D37/Assumptions!$C$56,"")</f>
        <v/>
      </c>
      <c r="K16" s="33">
        <f>IF(1&lt;=Assumptions!$C$6,IFERROR(Debt!D13,"N/A"),"")</f>
        <v/>
      </c>
    </row>
    <row r="17">
      <c r="B17" s="3" t="inlineStr">
        <is>
          <t>Market Rent Growth (annual)</t>
        </is>
      </c>
      <c r="C17" s="27" t="n">
        <v>0.03</v>
      </c>
      <c r="H17" s="31">
        <f>IF(2&lt;= Assumptions!$C$6,2,"")</f>
        <v/>
      </c>
      <c r="I17" s="28">
        <f>IF(2&lt;=Assumptions!$C$6,'Cash Flow'!E37,"")</f>
        <v/>
      </c>
      <c r="J17" s="32">
        <f>IF(2&lt;=Assumptions!$C$6,'Cash Flow'!E37/Assumptions!$C$56,"")</f>
        <v/>
      </c>
      <c r="K17" s="33">
        <f>IF(2&lt;=Assumptions!$C$6,IFERROR(Debt!E13,"N/A"),"")</f>
        <v/>
      </c>
    </row>
    <row r="18">
      <c r="B18" s="3" t="inlineStr">
        <is>
          <t>Contractual Rent Bumps (in-place)</t>
        </is>
      </c>
      <c r="C18" s="27" t="n">
        <v>0.02</v>
      </c>
      <c r="E18" s="24" t="inlineStr">
        <is>
          <t>Per lease</t>
        </is>
      </c>
      <c r="H18" s="31">
        <f>IF(3&lt;= Assumptions!$C$6,3,"")</f>
        <v/>
      </c>
      <c r="I18" s="28">
        <f>IF(3&lt;=Assumptions!$C$6,'Cash Flow'!F37,"")</f>
        <v/>
      </c>
      <c r="J18" s="32">
        <f>IF(3&lt;=Assumptions!$C$6,'Cash Flow'!F37/Assumptions!$C$56,"")</f>
        <v/>
      </c>
      <c r="K18" s="33">
        <f>IF(3&lt;=Assumptions!$C$6,IFERROR(Debt!F13,"N/A"),"")</f>
        <v/>
      </c>
    </row>
    <row r="19">
      <c r="B19" s="3" t="inlineStr">
        <is>
          <t>General Vacancy &amp; Credit Loss</t>
        </is>
      </c>
      <c r="C19" s="27" t="n">
        <v>0</v>
      </c>
      <c r="E19" s="24" t="inlineStr">
        <is>
          <t>Single-tenant baseline</t>
        </is>
      </c>
      <c r="H19" s="31">
        <f>IF(4&lt;= Assumptions!$C$6,4,"")</f>
        <v/>
      </c>
      <c r="I19" s="28">
        <f>IF(4&lt;=Assumptions!$C$6,'Cash Flow'!G37,"")</f>
        <v/>
      </c>
      <c r="J19" s="32">
        <f>IF(4&lt;=Assumptions!$C$6,'Cash Flow'!G37/Assumptions!$C$56,"")</f>
        <v/>
      </c>
      <c r="K19" s="33">
        <f>IF(4&lt;=Assumptions!$C$6,IFERROR(Debt!G13,"N/A"),"")</f>
        <v/>
      </c>
    </row>
    <row r="20">
      <c r="B20" s="3" t="inlineStr">
        <is>
          <t>Renewal Probability at Rollover</t>
        </is>
      </c>
      <c r="C20" s="27" t="n">
        <v>0.85</v>
      </c>
      <c r="E20" s="24" t="inlineStr">
        <is>
          <t>Weights TI/LC + rollover-yr downtime only</t>
        </is>
      </c>
      <c r="H20" s="31">
        <f>IF(5&lt;= Assumptions!$C$6,5,"")</f>
        <v/>
      </c>
      <c r="I20" s="28">
        <f>IF(5&lt;=Assumptions!$C$6,'Cash Flow'!H37,"")</f>
        <v/>
      </c>
      <c r="J20" s="32">
        <f>IF(5&lt;=Assumptions!$C$6,'Cash Flow'!H37/Assumptions!$C$56,"")</f>
        <v/>
      </c>
      <c r="K20" s="33">
        <f>IF(5&lt;=Assumptions!$C$6,IFERROR(Debt!H13,"N/A"),"")</f>
        <v/>
      </c>
    </row>
    <row r="21">
      <c r="B21" s="3" t="inlineStr">
        <is>
          <t>Downtime on Non-Renewal (months)</t>
        </is>
      </c>
      <c r="C21" s="25" t="n">
        <v>9</v>
      </c>
      <c r="E21" s="24" t="inlineStr">
        <is>
          <t>Expected abatement × (1−renew), rollover yr only</t>
        </is>
      </c>
      <c r="H21" s="31">
        <f>IF(6&lt;= Assumptions!$C$6,6,"")</f>
        <v/>
      </c>
      <c r="I21" s="28">
        <f>IF(6&lt;=Assumptions!$C$6,'Cash Flow'!I37,"")</f>
        <v/>
      </c>
      <c r="J21" s="32">
        <f>IF(6&lt;=Assumptions!$C$6,'Cash Flow'!I37/Assumptions!$C$56,"")</f>
        <v/>
      </c>
      <c r="K21" s="33">
        <f>IF(6&lt;=Assumptions!$C$6,IFERROR(Debt!I13,"N/A"),"")</f>
        <v/>
      </c>
    </row>
    <row r="22">
      <c r="B22" s="3" t="inlineStr">
        <is>
          <t>Reimbursement Recovery Rate</t>
        </is>
      </c>
      <c r="C22" s="27" t="n">
        <v>1</v>
      </c>
      <c r="E22" s="24" t="inlineStr">
        <is>
          <t>% of LL OpEx the tenant reimburses (0 for absolute NNN or gross; ~0.95-1.00 for NNN)</t>
        </is>
      </c>
      <c r="H22" s="31">
        <f>IF(7&lt;= Assumptions!$C$6,7,"")</f>
        <v/>
      </c>
      <c r="I22" s="28">
        <f>IF(7&lt;=Assumptions!$C$6,'Cash Flow'!J37,"")</f>
        <v/>
      </c>
      <c r="J22" s="32">
        <f>IF(7&lt;=Assumptions!$C$6,'Cash Flow'!J37/Assumptions!$C$56,"")</f>
        <v/>
      </c>
      <c r="K22" s="33">
        <f>IF(7&lt;=Assumptions!$C$6,IFERROR(Debt!J13,"N/A"),"")</f>
        <v/>
      </c>
    </row>
    <row r="23">
      <c r="H23" s="31">
        <f>IF(8&lt;= Assumptions!$C$6,8,"")</f>
        <v/>
      </c>
      <c r="I23" s="28">
        <f>IF(8&lt;=Assumptions!$C$6,'Cash Flow'!K37,"")</f>
        <v/>
      </c>
      <c r="J23" s="32">
        <f>IF(8&lt;=Assumptions!$C$6,'Cash Flow'!K37/Assumptions!$C$56,"")</f>
        <v/>
      </c>
      <c r="K23" s="33">
        <f>IF(8&lt;=Assumptions!$C$6,IFERROR(Debt!K13,"N/A"),"")</f>
        <v/>
      </c>
    </row>
    <row r="24">
      <c r="B24" s="11" t="inlineStr">
        <is>
          <t>OPERATING EXPENSES (LL exposure — ABOVE NOI)</t>
        </is>
      </c>
      <c r="C24" s="12" t="inlineStr"/>
      <c r="E24" s="12" t="inlineStr"/>
      <c r="H24" s="31">
        <f>IF(9&lt;= Assumptions!$C$6,9,"")</f>
        <v/>
      </c>
      <c r="I24" s="28">
        <f>IF(9&lt;=Assumptions!$C$6,'Cash Flow'!L37,"")</f>
        <v/>
      </c>
      <c r="J24" s="32">
        <f>IF(9&lt;=Assumptions!$C$6,'Cash Flow'!L37/Assumptions!$C$56,"")</f>
        <v/>
      </c>
      <c r="K24" s="33">
        <f>IF(9&lt;=Assumptions!$C$6,IFERROR(Debt!L13,"N/A"),"")</f>
        <v/>
      </c>
    </row>
    <row r="25">
      <c r="B25" s="3" t="inlineStr">
        <is>
          <t>Real Estate Taxes (LL)</t>
        </is>
      </c>
      <c r="C25" s="23" t="n">
        <v>0</v>
      </c>
      <c r="E25" s="24" t="inlineStr">
        <is>
          <t>0 if tenant pays direct</t>
        </is>
      </c>
      <c r="H25" s="31">
        <f>IF(10&lt;= Assumptions!$C$6,10,"")</f>
        <v/>
      </c>
      <c r="I25" s="28">
        <f>IF(10&lt;=Assumptions!$C$6,'Cash Flow'!M37,"")</f>
        <v/>
      </c>
      <c r="J25" s="32">
        <f>IF(10&lt;=Assumptions!$C$6,'Cash Flow'!M37/Assumptions!$C$56,"")</f>
        <v/>
      </c>
      <c r="K25" s="33">
        <f>IF(10&lt;=Assumptions!$C$6,IFERROR(Debt!M13,"N/A"),"")</f>
        <v/>
      </c>
    </row>
    <row r="26">
      <c r="B26" s="3" t="inlineStr">
        <is>
          <t>Insurance (LL)</t>
        </is>
      </c>
      <c r="C26" s="23" t="n">
        <v>0</v>
      </c>
      <c r="E26" s="24" t="inlineStr">
        <is>
          <t>0 if tenant pays direct</t>
        </is>
      </c>
      <c r="H26" s="31">
        <f>IF(11&lt;= Assumptions!$C$6,11,"")</f>
        <v/>
      </c>
      <c r="I26" s="28">
        <f>IF(11&lt;=Assumptions!$C$6,'Cash Flow'!N37,"")</f>
        <v/>
      </c>
      <c r="J26" s="32">
        <f>IF(11&lt;=Assumptions!$C$6,'Cash Flow'!N37/Assumptions!$C$56,"")</f>
        <v/>
      </c>
      <c r="K26" s="33">
        <f>IF(11&lt;=Assumptions!$C$6,IFERROR(Debt!N13,"N/A"),"")</f>
        <v/>
      </c>
    </row>
    <row r="27">
      <c r="B27" s="3" t="inlineStr">
        <is>
          <t>CAM / R&amp;M (LL)</t>
        </is>
      </c>
      <c r="C27" s="23" t="n">
        <v>0</v>
      </c>
      <c r="E27" s="24" t="inlineStr">
        <is>
          <t>0 if tenant responsibility</t>
        </is>
      </c>
      <c r="H27" s="31">
        <f>IF(12&lt;= Assumptions!$C$6,12,"")</f>
        <v/>
      </c>
      <c r="I27" s="28">
        <f>IF(12&lt;=Assumptions!$C$6,'Cash Flow'!O37,"")</f>
        <v/>
      </c>
      <c r="J27" s="32">
        <f>IF(12&lt;=Assumptions!$C$6,'Cash Flow'!O37/Assumptions!$C$56,"")</f>
        <v/>
      </c>
      <c r="K27" s="33">
        <f>IF(12&lt;=Assumptions!$C$6,IFERROR(Debt!O13,"N/A"),"")</f>
        <v/>
      </c>
    </row>
    <row r="28">
      <c r="B28" s="3" t="inlineStr">
        <is>
          <t>Roof &amp; Structure Reserve (LL)</t>
        </is>
      </c>
      <c r="C28" s="23" t="n">
        <v>0</v>
      </c>
      <c r="E28" s="24" t="inlineStr">
        <is>
          <t>0 if absolute NNN</t>
        </is>
      </c>
      <c r="H28" s="31">
        <f>IF(13&lt;= Assumptions!$C$6,13,"")</f>
        <v/>
      </c>
      <c r="I28" s="28">
        <f>IF(13&lt;=Assumptions!$C$6,'Cash Flow'!P37,"")</f>
        <v/>
      </c>
      <c r="J28" s="32">
        <f>IF(13&lt;=Assumptions!$C$6,'Cash Flow'!P37/Assumptions!$C$56,"")</f>
        <v/>
      </c>
      <c r="K28" s="33">
        <f>IF(13&lt;=Assumptions!$C$6,IFERROR(Debt!P13,"N/A"),"")</f>
        <v/>
      </c>
    </row>
    <row r="29">
      <c r="B29" s="3" t="inlineStr">
        <is>
          <t>OpEx Growth (general)</t>
        </is>
      </c>
      <c r="C29" s="27" t="n">
        <v>0.03</v>
      </c>
      <c r="H29" s="31">
        <f>IF(14&lt;= Assumptions!$C$6,14,"")</f>
        <v/>
      </c>
      <c r="I29" s="28">
        <f>IF(14&lt;=Assumptions!$C$6,'Cash Flow'!Q37,"")</f>
        <v/>
      </c>
      <c r="J29" s="32">
        <f>IF(14&lt;=Assumptions!$C$6,'Cash Flow'!Q37/Assumptions!$C$56,"")</f>
        <v/>
      </c>
      <c r="K29" s="33">
        <f>IF(14&lt;=Assumptions!$C$6,IFERROR(Debt!Q13,"N/A"),"")</f>
        <v/>
      </c>
    </row>
    <row r="30">
      <c r="B30" s="3" t="inlineStr">
        <is>
          <t>Real Estate Tax Growth</t>
        </is>
      </c>
      <c r="C30" s="27" t="n">
        <v>0.03</v>
      </c>
      <c r="H30" s="31">
        <f>IF(15&lt;= Assumptions!$C$6,15,"")</f>
        <v/>
      </c>
      <c r="I30" s="28">
        <f>IF(15&lt;=Assumptions!$C$6,'Cash Flow'!R37,"")</f>
        <v/>
      </c>
      <c r="J30" s="32">
        <f>IF(15&lt;=Assumptions!$C$6,'Cash Flow'!R37/Assumptions!$C$56,"")</f>
        <v/>
      </c>
      <c r="K30" s="33">
        <f>IF(15&lt;=Assumptions!$C$6,IFERROR(Debt!R13,"N/A"),"")</f>
        <v/>
      </c>
    </row>
    <row r="31">
      <c r="B31" s="3" t="inlineStr">
        <is>
          <t>Insurance Growth</t>
        </is>
      </c>
      <c r="C31" s="27" t="n">
        <v>0.04</v>
      </c>
    </row>
    <row r="33">
      <c r="B33" s="11" t="inlineStr">
        <is>
          <t>CAPITAL, LEASING &amp; ASSET MGMT (BELOW NOI)</t>
        </is>
      </c>
      <c r="C33" s="12" t="inlineStr"/>
      <c r="E33" s="12" t="inlineStr"/>
    </row>
    <row r="34">
      <c r="B34" s="3" t="inlineStr">
        <is>
          <t>Capital Reserves ($/SF/year)</t>
        </is>
      </c>
      <c r="C34" s="30" t="n">
        <v>0.1</v>
      </c>
    </row>
    <row r="35">
      <c r="B35" s="3" t="inlineStr">
        <is>
          <t>Asset Mgmt / Misc Reserve ($/yr)</t>
        </is>
      </c>
      <c r="C35" s="23" t="n">
        <v>5000</v>
      </c>
      <c r="E35" s="24" t="inlineStr">
        <is>
          <t>Below the line (not an operating expense)</t>
        </is>
      </c>
    </row>
    <row r="36">
      <c r="B36" s="3" t="inlineStr">
        <is>
          <t>Asset Mgmt Growth</t>
        </is>
      </c>
      <c r="C36" s="27" t="n">
        <v>0.03</v>
      </c>
    </row>
    <row r="37">
      <c r="B37" s="3" t="inlineStr">
        <is>
          <t>TI - New Lease ($/SF)</t>
        </is>
      </c>
      <c r="C37" s="30" t="n">
        <v>5</v>
      </c>
      <c r="E37" s="24" t="inlineStr">
        <is>
          <t>re-let scenario</t>
        </is>
      </c>
    </row>
    <row r="38">
      <c r="B38" s="3" t="inlineStr">
        <is>
          <t>TI - Renewal ($/SF)</t>
        </is>
      </c>
      <c r="C38" s="30" t="n">
        <v>1</v>
      </c>
    </row>
    <row r="39">
      <c r="B39" s="3" t="inlineStr">
        <is>
          <t>LC - New Lease (% of total rent)</t>
        </is>
      </c>
      <c r="C39" s="27" t="n">
        <v>0.06</v>
      </c>
    </row>
    <row r="40">
      <c r="B40" s="3" t="inlineStr">
        <is>
          <t>LC - Renewal (% of total rent)</t>
        </is>
      </c>
      <c r="C40" s="27" t="n">
        <v>0.03</v>
      </c>
    </row>
    <row r="41">
      <c r="B41" s="3" t="inlineStr">
        <is>
          <t>Assumed New Lease Term (years)</t>
        </is>
      </c>
      <c r="C41" s="25" t="n">
        <v>5</v>
      </c>
    </row>
    <row r="43">
      <c r="B43" s="11" t="inlineStr">
        <is>
          <t>EXIT ASSUMPTIONS</t>
        </is>
      </c>
      <c r="C43" s="12" t="inlineStr"/>
      <c r="E43" s="12" t="inlineStr"/>
    </row>
    <row r="44">
      <c r="B44" s="3" t="inlineStr">
        <is>
          <t>Exit Cap Rate</t>
        </is>
      </c>
      <c r="C44" s="27" t="n">
        <v>0.0733</v>
      </c>
      <c r="E44" s="24" t="inlineStr">
        <is>
          <t>Going-in cap 7.08% + 25 bps</t>
        </is>
      </c>
    </row>
    <row r="45">
      <c r="B45" s="3" t="inlineStr">
        <is>
          <t>Disposition Costs (% of sale)</t>
        </is>
      </c>
      <c r="C45" s="27" t="n">
        <v>0.04</v>
      </c>
    </row>
    <row r="47">
      <c r="B47" s="11" t="inlineStr">
        <is>
          <t>DEBT TERMS (LEVERED — 60% LTV / 6.25% / 25-yr amort)</t>
        </is>
      </c>
      <c r="C47" s="12" t="inlineStr"/>
      <c r="E47" s="12" t="inlineStr"/>
    </row>
    <row r="48">
      <c r="B48" s="3" t="inlineStr">
        <is>
          <t>LTV</t>
        </is>
      </c>
      <c r="C48" s="34" t="n">
        <v>0.6</v>
      </c>
      <c r="E48" s="35" t="inlineStr">
        <is>
          <t>Bronze = debt input. 0 = all-cash.</t>
        </is>
      </c>
    </row>
    <row r="49">
      <c r="B49" s="3" t="inlineStr">
        <is>
          <t>Interest Rate</t>
        </is>
      </c>
      <c r="C49" s="34" t="n">
        <v>0.0625</v>
      </c>
    </row>
    <row r="50">
      <c r="B50" s="3" t="inlineStr">
        <is>
          <t>Amortization (years)</t>
        </is>
      </c>
      <c r="C50" s="26" t="n">
        <v>25</v>
      </c>
    </row>
    <row r="51">
      <c r="B51" s="3" t="inlineStr">
        <is>
          <t>Interest-Only Period (years)</t>
        </is>
      </c>
      <c r="C51" s="26" t="n">
        <v>0</v>
      </c>
    </row>
    <row r="52">
      <c r="B52" s="3" t="inlineStr">
        <is>
          <t>Loan Fees (% of loan)</t>
        </is>
      </c>
      <c r="C52" s="34" t="n">
        <v>0.01</v>
      </c>
    </row>
    <row r="53">
      <c r="B53" s="3" t="inlineStr">
        <is>
          <t>Loan Amount</t>
        </is>
      </c>
      <c r="C53" s="28">
        <f>C9*C48</f>
        <v/>
      </c>
    </row>
    <row r="54">
      <c r="B54" s="3" t="inlineStr">
        <is>
          <t>Equity (Acquisition)</t>
        </is>
      </c>
      <c r="C54" s="28">
        <f>C12-C53</f>
        <v/>
      </c>
    </row>
    <row r="55">
      <c r="B55" s="3" t="inlineStr">
        <is>
          <t>Loan Fees ($)</t>
        </is>
      </c>
      <c r="C55" s="28">
        <f>C53*C52</f>
        <v/>
      </c>
    </row>
    <row r="56">
      <c r="B56" s="22" t="inlineStr">
        <is>
          <t>Total Equity Required</t>
        </is>
      </c>
      <c r="C56" s="36">
        <f>C54+C55</f>
        <v/>
      </c>
    </row>
    <row r="57">
      <c r="B57" s="3" t="inlineStr">
        <is>
          <t>Monthly P&amp;I Payment</t>
        </is>
      </c>
      <c r="C57" s="28">
        <f>IFERROR(-PMT(C49/12,C50*12,C53),0)</f>
        <v/>
      </c>
    </row>
    <row r="58">
      <c r="B58" s="3" t="inlineStr">
        <is>
          <t>Annual P&amp;I (post-IO)</t>
        </is>
      </c>
      <c r="C58" s="28">
        <f>C57*12</f>
        <v/>
      </c>
    </row>
    <row r="59">
      <c r="B59" s="3" t="inlineStr">
        <is>
          <t>Annual IO Payment</t>
        </is>
      </c>
      <c r="C59" s="28">
        <f>C53*C49</f>
        <v/>
      </c>
    </row>
    <row r="61">
      <c r="B61" s="11" t="inlineStr">
        <is>
          <t>LEASE ECONOMICS</t>
        </is>
      </c>
      <c r="C61" s="12" t="inlineStr"/>
      <c r="E61" s="12" t="inlineStr"/>
    </row>
    <row r="62">
      <c r="B62" s="3" t="inlineStr">
        <is>
          <t>Annual In-Place Rent (Year 1, total)</t>
        </is>
      </c>
      <c r="C62" s="23" t="n">
        <v>832000</v>
      </c>
      <c r="E62" s="24" t="inlineStr">
        <is>
          <t>Demo configuration. All names, addresses, and figures are fictional. Use this as a starting point for your own deal.</t>
        </is>
      </c>
    </row>
    <row r="63">
      <c r="B63" s="3" t="inlineStr">
        <is>
          <t>In-Place Blended Rent ($/SF NNN)</t>
        </is>
      </c>
      <c r="C63" s="29">
        <f>C62/C4</f>
        <v/>
      </c>
    </row>
    <row r="64">
      <c r="B64" s="3" t="inlineStr">
        <is>
          <t>Lease Expiration</t>
        </is>
      </c>
      <c r="C64" s="37" t="inlineStr">
        <is>
          <t>Lease expires December 31, 2034 (Year 8 of hold)</t>
        </is>
      </c>
    </row>
    <row r="65">
      <c r="B65" s="3" t="inlineStr">
        <is>
          <t>Months of Lease in Rollover Year</t>
        </is>
      </c>
      <c r="C65" s="25" t="n">
        <v>12</v>
      </c>
    </row>
    <row r="66">
      <c r="B66" s="3" t="inlineStr">
        <is>
          <t>Year of Rollover (Year of Hold)</t>
        </is>
      </c>
      <c r="C66" s="25" t="n">
        <v>8</v>
      </c>
      <c r="E66" s="35" t="inlineStr">
        <is>
          <t>99 = lease covers full hold</t>
        </is>
      </c>
    </row>
    <row r="67">
      <c r="B67" s="3" t="inlineStr">
        <is>
          <t>Initial Rent at Lease Start</t>
        </is>
      </c>
      <c r="C67" s="23" t="n">
        <v>832000</v>
      </c>
    </row>
    <row r="69">
      <c r="B69" s="11" t="inlineStr">
        <is>
          <t>DECISION &amp; TARGETS</t>
        </is>
      </c>
      <c r="C69" s="12" t="inlineStr"/>
      <c r="E69" s="12" t="inlineStr"/>
    </row>
    <row r="70">
      <c r="B70" s="3" t="inlineStr">
        <is>
          <t>Target Levered IRR</t>
        </is>
      </c>
      <c r="C70" s="27" t="n">
        <v>0.12</v>
      </c>
      <c r="E70" s="24" t="inlineStr">
        <is>
          <t>Used by the bid-to-target solver (Summary)</t>
        </is>
      </c>
    </row>
    <row r="71">
      <c r="B71" s="3" t="inlineStr">
        <is>
          <t>Minimum DSCR (floor)</t>
        </is>
      </c>
      <c r="C71" s="38" t="n">
        <v>1.2</v>
      </c>
      <c r="E71" s="24" t="inlineStr">
        <is>
          <t>Checks flag below this</t>
        </is>
      </c>
    </row>
    <row r="82">
      <c r="B82" s="11" t="inlineStr">
        <is>
          <t>REFINANCE / CASH-OUT (optional)</t>
        </is>
      </c>
      <c r="C82" s="12" t="inlineStr"/>
      <c r="E82" s="12" t="inlineStr"/>
    </row>
    <row r="83">
      <c r="B83" s="3" t="inlineStr">
        <is>
          <t>Refinance? (1 = yes, 0 = no)</t>
        </is>
      </c>
      <c r="C83" s="26" t="n">
        <v>0</v>
      </c>
      <c r="E83" s="24" t="inlineStr">
        <is>
          <t>Set 1 to model a mid-hold cash-out refi</t>
        </is>
      </c>
    </row>
    <row r="84">
      <c r="B84" s="3" t="inlineStr">
        <is>
          <t>Refi Year (of hold)</t>
        </is>
      </c>
      <c r="C84" s="26" t="n">
        <v>4</v>
      </c>
    </row>
    <row r="85">
      <c r="B85" s="3" t="inlineStr">
        <is>
          <t>Refi DSCR (sizing)</t>
        </is>
      </c>
      <c r="C85" s="39" t="n">
        <v>1.25</v>
      </c>
      <c r="E85" s="24" t="inlineStr">
        <is>
          <t>New loan sized to this DSCR on refi-year NOI</t>
        </is>
      </c>
    </row>
    <row r="86">
      <c r="B86" s="3" t="inlineStr">
        <is>
          <t>Refi Interest Rate</t>
        </is>
      </c>
      <c r="C86" s="34" t="n">
        <v>0.06</v>
      </c>
    </row>
    <row r="87">
      <c r="B87" s="3" t="inlineStr">
        <is>
          <t>Refi Amortization (years)</t>
        </is>
      </c>
      <c r="C87" s="26" t="n">
        <v>25</v>
      </c>
    </row>
    <row r="88">
      <c r="B88" s="3" t="inlineStr">
        <is>
          <t>Refi Loan Fees (% of loan)</t>
        </is>
      </c>
      <c r="C88" s="34" t="n">
        <v>0.01</v>
      </c>
    </row>
    <row r="89">
      <c r="B89" s="3" t="inlineStr">
        <is>
          <t>New Loan Amount (sized)</t>
        </is>
      </c>
      <c r="C89" s="40">
        <f>IF(C83=1,(INDEX('Cash Flow'!$D$21:$R$21,1,C84)/C85)/(-PMT(C86/12,C87*12,1)*12),0)</f>
        <v/>
      </c>
    </row>
    <row r="90">
      <c r="B90" s="3" t="inlineStr">
        <is>
          <t>New Annual P&amp;I</t>
        </is>
      </c>
      <c r="C90" s="40">
        <f>IF(C83=1,-PMT(C86/12,C87*12,C89)*12,0)</f>
        <v/>
      </c>
    </row>
    <row r="91">
      <c r="B91" s="3" t="inlineStr">
        <is>
          <t>Old Loan Payoff at Refi</t>
        </is>
      </c>
      <c r="C91" s="40">
        <f>IF(C83=1,INDEX(Debt!$D$9:$R$9,1,C84-1),0)</f>
        <v/>
      </c>
    </row>
    <row r="92">
      <c r="B92" s="22" t="inlineStr">
        <is>
          <t>Net Cash-Out to Equity</t>
        </is>
      </c>
      <c r="C92" s="41">
        <f>IF(C83=1,C89-C91-C89*C88,0)</f>
        <v/>
      </c>
    </row>
    <row r="94">
      <c r="B94" s="11" t="inlineStr">
        <is>
          <t>OM TIE-OUT (reference — 0 = not provided)</t>
        </is>
      </c>
      <c r="C94" s="12" t="inlineStr"/>
      <c r="E94" s="12" t="inlineStr"/>
    </row>
    <row r="95">
      <c r="B95" s="3" t="inlineStr">
        <is>
          <t>OM-Stated Year 1 NOI</t>
        </is>
      </c>
      <c r="C95" s="42" t="n">
        <v>832000</v>
      </c>
      <c r="E95" s="24" t="inlineStr">
        <is>
          <t>Checks flag if model NOI diverges &gt;3%</t>
        </is>
      </c>
    </row>
    <row r="96">
      <c r="B96" s="3" t="inlineStr">
        <is>
          <t>OM-Stated Going-In Cap</t>
        </is>
      </c>
      <c r="C96" s="27" t="n">
        <v>0.0693</v>
      </c>
      <c r="E96" s="24" t="inlineStr">
        <is>
          <t>Checks flag if model cap diverges</t>
        </is>
      </c>
    </row>
  </sheetData>
  <dataValidations count="3">
    <dataValidation sqref="C83" showDropDown="0" showInputMessage="0" showErrorMessage="0" allowBlank="0" type="list">
      <formula1>"0,1"</formula1>
    </dataValidation>
    <dataValidation sqref="C6" showDropDown="0" showInputMessage="0" showErrorMessage="0" allowBlank="0" error="Hold must be between 3 and 14 years." type="whole" operator="between">
      <formula1>3</formula1>
      <formula2>14</formula2>
    </dataValidation>
    <dataValidation sqref="C84" showDropDown="0" showInputMessage="0" showErrorMessage="0" allowBlank="0" error="Refi year must be between 2 and the hold period." type="whole" operator="between">
      <formula1>2</formula1>
      <formula2>C6</formula2>
    </dataValidation>
  </dataValidations>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35"/>
  <sheetViews>
    <sheetView showGridLines="0" workbookViewId="0">
      <pane xSplit="6" ySplit="3" topLeftCell="G4" activePane="bottomRight" state="frozen"/>
      <selection pane="topRight"/>
      <selection pane="bottomLeft"/>
      <selection pane="bottomRight" activeCell="A1" sqref="A1"/>
    </sheetView>
  </sheetViews>
  <sheetFormatPr baseColWidth="8" defaultRowHeight="15"/>
  <cols>
    <col width="30" customWidth="1" min="2" max="2"/>
    <col width="10" customWidth="1" min="3" max="3"/>
    <col width="10" customWidth="1" min="4" max="4"/>
    <col width="10" customWidth="1" min="5" max="5"/>
    <col width="10" customWidth="1" min="6" max="6"/>
    <col width="10.5" customWidth="1" min="7" max="7"/>
    <col width="10.5" customWidth="1" min="8" max="8"/>
    <col width="10.5" customWidth="1" min="9" max="9"/>
    <col width="10.5" customWidth="1" min="10" max="10"/>
    <col width="10.5" customWidth="1" min="11" max="11"/>
    <col width="10.5" customWidth="1" min="12" max="12"/>
    <col width="10.5" customWidth="1" min="13" max="13"/>
    <col width="10.5" customWidth="1" min="14" max="14"/>
    <col width="10.5" customWidth="1" min="15" max="15"/>
    <col width="10.5" customWidth="1" min="16" max="16"/>
    <col width="10.5" customWidth="1" min="17" max="17"/>
    <col width="10.5" customWidth="1" min="18" max="18"/>
    <col width="10.5" customWidth="1" min="19" max="19"/>
    <col width="10.5" customWidth="1" min="20" max="20"/>
    <col width="10.5" customWidth="1" min="21" max="21"/>
  </cols>
  <sheetData>
    <row r="1">
      <c r="B1" s="1" t="inlineStr">
        <is>
          <t>Sample Industrial — Capistrano Toolkit Demo — Rent Roll &amp; 15-Year Projection  ($)</t>
        </is>
      </c>
    </row>
    <row r="3">
      <c r="B3" s="43" t="inlineStr">
        <is>
          <t>Tenant</t>
        </is>
      </c>
      <c r="C3" s="44" t="inlineStr">
        <is>
          <t>SF</t>
        </is>
      </c>
      <c r="D3" s="44" t="inlineStr">
        <is>
          <t>$/SF Y1</t>
        </is>
      </c>
      <c r="E3" s="44" t="inlineStr">
        <is>
          <t>Rent Y1</t>
        </is>
      </c>
      <c r="F3" s="44" t="inlineStr">
        <is>
          <t>Lease Exp</t>
        </is>
      </c>
      <c r="G3" s="44" t="inlineStr">
        <is>
          <t>Roll Yr</t>
        </is>
      </c>
      <c r="H3" s="44" t="inlineStr">
        <is>
          <t>Mo</t>
        </is>
      </c>
      <c r="I3" s="44" t="inlineStr">
        <is>
          <t>Esc %</t>
        </is>
      </c>
      <c r="J3" s="44" t="inlineStr">
        <is>
          <t>Renew</t>
        </is>
      </c>
      <c r="K3" s="44" t="inlineStr">
        <is>
          <t>Mkt $/SF</t>
        </is>
      </c>
    </row>
    <row r="4">
      <c r="B4" s="3" t="inlineStr">
        <is>
          <t>Acme Industrial Co.</t>
        </is>
      </c>
      <c r="C4" s="45" t="n">
        <v>85000</v>
      </c>
      <c r="D4" s="46">
        <f>E4/C4</f>
        <v/>
      </c>
      <c r="E4" s="47" t="n">
        <v>832000</v>
      </c>
      <c r="F4" s="48" t="inlineStr">
        <is>
          <t>Lease expires December 31, 2034 (Year 8 of hold)</t>
        </is>
      </c>
      <c r="G4" s="49" t="n">
        <v>8</v>
      </c>
      <c r="H4" s="49" t="n">
        <v>12</v>
      </c>
      <c r="I4" s="50">
        <f>Assumptions!$C$18</f>
        <v/>
      </c>
      <c r="J4" s="50">
        <f>Assumptions!$C$20</f>
        <v/>
      </c>
      <c r="K4" s="51">
        <f>Assumptions!$C$16</f>
        <v/>
      </c>
    </row>
    <row r="5">
      <c r="B5" s="52" t="inlineStr">
        <is>
          <t>TOTAL</t>
        </is>
      </c>
      <c r="C5" s="53">
        <f>SUM(C4:C4)</f>
        <v/>
      </c>
      <c r="E5" s="54">
        <f>SUM(E4:E4)</f>
        <v/>
      </c>
    </row>
    <row r="7">
      <c r="B7" s="11" t="inlineStr">
        <is>
          <t>ANNUAL RENT PROJECTION BY TENANT  (TOTAL drives Cash Flow)</t>
        </is>
      </c>
    </row>
    <row r="8">
      <c r="B8" s="55" t="inlineStr">
        <is>
          <t>Tenant</t>
        </is>
      </c>
      <c r="G8" s="44" t="inlineStr">
        <is>
          <t>Yr 1</t>
        </is>
      </c>
      <c r="H8" s="44" t="inlineStr">
        <is>
          <t>Yr 2</t>
        </is>
      </c>
      <c r="I8" s="44" t="inlineStr">
        <is>
          <t>Yr 3</t>
        </is>
      </c>
      <c r="J8" s="44" t="inlineStr">
        <is>
          <t>Yr 4</t>
        </is>
      </c>
      <c r="K8" s="44" t="inlineStr">
        <is>
          <t>Yr 5</t>
        </is>
      </c>
      <c r="L8" s="44" t="inlineStr">
        <is>
          <t>Yr 6</t>
        </is>
      </c>
      <c r="M8" s="44" t="inlineStr">
        <is>
          <t>Yr 7</t>
        </is>
      </c>
      <c r="N8" s="56" t="inlineStr">
        <is>
          <t>Yr 8</t>
        </is>
      </c>
      <c r="O8" s="44" t="inlineStr">
        <is>
          <t>Yr 9</t>
        </is>
      </c>
      <c r="P8" s="44" t="inlineStr">
        <is>
          <t>Yr 10</t>
        </is>
      </c>
      <c r="Q8" s="44" t="inlineStr">
        <is>
          <t>Yr 11</t>
        </is>
      </c>
      <c r="R8" s="44" t="inlineStr">
        <is>
          <t>Yr 12</t>
        </is>
      </c>
      <c r="S8" s="44" t="inlineStr">
        <is>
          <t>Yr 13</t>
        </is>
      </c>
      <c r="T8" s="44" t="inlineStr">
        <is>
          <t>Yr 14</t>
        </is>
      </c>
      <c r="U8" s="44" t="inlineStr">
        <is>
          <t>Yr 15</t>
        </is>
      </c>
    </row>
    <row r="9">
      <c r="B9" s="3">
        <f>B4</f>
        <v/>
      </c>
      <c r="G9" s="40">
        <f>$E$4*(1+$I$4)^(1-1)</f>
        <v/>
      </c>
      <c r="H9" s="28">
        <f>$E$4*(1+$I$4)^(2-1)</f>
        <v/>
      </c>
      <c r="I9" s="28">
        <f>$E$4*(1+$I$4)^(3-1)</f>
        <v/>
      </c>
      <c r="J9" s="28">
        <f>$E$4*(1+$I$4)^(4-1)</f>
        <v/>
      </c>
      <c r="K9" s="28">
        <f>$E$4*(1+$I$4)^(5-1)</f>
        <v/>
      </c>
      <c r="L9" s="28">
        <f>$E$4*(1+$I$4)^(6-1)</f>
        <v/>
      </c>
      <c r="M9" s="28">
        <f>$E$4*(1+$I$4)^(7-1)</f>
        <v/>
      </c>
      <c r="N9" s="28">
        <f>$E$4*(1+$I$4)^(8-1)*($H$4/12)+$C$4*$K$4*(1+Assumptions!$C$17)^(8-1)*((12-$H$4)/12)-(1-$J$4)*$C$4*$K$4*(1+Assumptions!$C$17)^(8-1)*(MIN(Assumptions!$C$21,12-$H$4)/12)</f>
        <v/>
      </c>
      <c r="O9" s="28">
        <f>$C$4*$K$4*(1+Assumptions!$C$17)^(9-1)</f>
        <v/>
      </c>
      <c r="P9" s="28">
        <f>$C$4*$K$4*(1+Assumptions!$C$17)^(10-1)</f>
        <v/>
      </c>
      <c r="Q9" s="28">
        <f>$C$4*$K$4*(1+Assumptions!$C$17)^(11-1)</f>
        <v/>
      </c>
      <c r="R9" s="28">
        <f>$C$4*$K$4*(1+Assumptions!$C$17)^(12-1)</f>
        <v/>
      </c>
      <c r="S9" s="28">
        <f>$C$4*$K$4*(1+Assumptions!$C$17)^(13-1)</f>
        <v/>
      </c>
      <c r="T9" s="28">
        <f>$C$4*$K$4*(1+Assumptions!$C$17)^(14-1)</f>
        <v/>
      </c>
      <c r="U9" s="28">
        <f>$C$4*$K$4*(1+Assumptions!$C$17)^(15-1)</f>
        <v/>
      </c>
    </row>
    <row r="10">
      <c r="B10" s="52" t="inlineStr">
        <is>
          <t>TOTAL GPR</t>
        </is>
      </c>
      <c r="G10" s="57">
        <f>SUM(G9:G9)</f>
        <v/>
      </c>
      <c r="H10" s="58">
        <f>SUM(H9:H9)</f>
        <v/>
      </c>
      <c r="I10" s="58">
        <f>SUM(I9:I9)</f>
        <v/>
      </c>
      <c r="J10" s="58">
        <f>SUM(J9:J9)</f>
        <v/>
      </c>
      <c r="K10" s="58">
        <f>SUM(K9:K9)</f>
        <v/>
      </c>
      <c r="L10" s="58">
        <f>SUM(L9:L9)</f>
        <v/>
      </c>
      <c r="M10" s="58">
        <f>SUM(M9:M9)</f>
        <v/>
      </c>
      <c r="N10" s="58">
        <f>SUM(N9:N9)</f>
        <v/>
      </c>
      <c r="O10" s="58">
        <f>SUM(O9:O9)</f>
        <v/>
      </c>
      <c r="P10" s="58">
        <f>SUM(P9:P9)</f>
        <v/>
      </c>
      <c r="Q10" s="58">
        <f>SUM(Q9:Q9)</f>
        <v/>
      </c>
      <c r="R10" s="58">
        <f>SUM(R9:R9)</f>
        <v/>
      </c>
      <c r="S10" s="58">
        <f>SUM(S9:S9)</f>
        <v/>
      </c>
      <c r="T10" s="58">
        <f>SUM(T9:T9)</f>
        <v/>
      </c>
      <c r="U10" s="58">
        <f>SUM(U9:U9)</f>
        <v/>
      </c>
    </row>
    <row r="12">
      <c r="B12" s="3" t="inlineStr">
        <is>
          <t>Tenant Improvements (TI) total</t>
        </is>
      </c>
      <c r="G12" s="40">
        <f>SUMPRODUCT(($G$4:$G$4=1)*$C$4:$C$4*(($J$4:$J$4*Assumptions!$C$38)+(1-$J$4:$J$4)*Assumptions!$C$37))</f>
        <v/>
      </c>
      <c r="H12" s="28">
        <f>SUMPRODUCT(($G$4:$G$4=2)*$C$4:$C$4*(($J$4:$J$4*Assumptions!$C$38)+(1-$J$4:$J$4)*Assumptions!$C$37))</f>
        <v/>
      </c>
      <c r="I12" s="28">
        <f>SUMPRODUCT(($G$4:$G$4=3)*$C$4:$C$4*(($J$4:$J$4*Assumptions!$C$38)+(1-$J$4:$J$4)*Assumptions!$C$37))</f>
        <v/>
      </c>
      <c r="J12" s="28">
        <f>SUMPRODUCT(($G$4:$G$4=4)*$C$4:$C$4*(($J$4:$J$4*Assumptions!$C$38)+(1-$J$4:$J$4)*Assumptions!$C$37))</f>
        <v/>
      </c>
      <c r="K12" s="28">
        <f>SUMPRODUCT(($G$4:$G$4=5)*$C$4:$C$4*(($J$4:$J$4*Assumptions!$C$38)+(1-$J$4:$J$4)*Assumptions!$C$37))</f>
        <v/>
      </c>
      <c r="L12" s="28">
        <f>SUMPRODUCT(($G$4:$G$4=6)*$C$4:$C$4*(($J$4:$J$4*Assumptions!$C$38)+(1-$J$4:$J$4)*Assumptions!$C$37))</f>
        <v/>
      </c>
      <c r="M12" s="28">
        <f>SUMPRODUCT(($G$4:$G$4=7)*$C$4:$C$4*(($J$4:$J$4*Assumptions!$C$38)+(1-$J$4:$J$4)*Assumptions!$C$37))</f>
        <v/>
      </c>
      <c r="N12" s="28">
        <f>SUMPRODUCT(($G$4:$G$4=8)*$C$4:$C$4*(($J$4:$J$4*Assumptions!$C$38)+(1-$J$4:$J$4)*Assumptions!$C$37))</f>
        <v/>
      </c>
      <c r="O12" s="28">
        <f>SUMPRODUCT(($G$4:$G$4=9)*$C$4:$C$4*(($J$4:$J$4*Assumptions!$C$38)+(1-$J$4:$J$4)*Assumptions!$C$37))</f>
        <v/>
      </c>
      <c r="P12" s="28">
        <f>SUMPRODUCT(($G$4:$G$4=10)*$C$4:$C$4*(($J$4:$J$4*Assumptions!$C$38)+(1-$J$4:$J$4)*Assumptions!$C$37))</f>
        <v/>
      </c>
      <c r="Q12" s="28">
        <f>SUMPRODUCT(($G$4:$G$4=11)*$C$4:$C$4*(($J$4:$J$4*Assumptions!$C$38)+(1-$J$4:$J$4)*Assumptions!$C$37))</f>
        <v/>
      </c>
      <c r="R12" s="28">
        <f>SUMPRODUCT(($G$4:$G$4=12)*$C$4:$C$4*(($J$4:$J$4*Assumptions!$C$38)+(1-$J$4:$J$4)*Assumptions!$C$37))</f>
        <v/>
      </c>
      <c r="S12" s="28">
        <f>SUMPRODUCT(($G$4:$G$4=13)*$C$4:$C$4*(($J$4:$J$4*Assumptions!$C$38)+(1-$J$4:$J$4)*Assumptions!$C$37))</f>
        <v/>
      </c>
      <c r="T12" s="28">
        <f>SUMPRODUCT(($G$4:$G$4=14)*$C$4:$C$4*(($J$4:$J$4*Assumptions!$C$38)+(1-$J$4:$J$4)*Assumptions!$C$37))</f>
        <v/>
      </c>
      <c r="U12" s="28">
        <f>SUMPRODUCT(($G$4:$G$4=15)*$C$4:$C$4*(($J$4:$J$4*Assumptions!$C$38)+(1-$J$4:$J$4)*Assumptions!$C$37))</f>
        <v/>
      </c>
    </row>
    <row r="13">
      <c r="B13" s="3" t="inlineStr">
        <is>
          <t>Leasing Commissions (LC) total</t>
        </is>
      </c>
      <c r="G13" s="40">
        <f>SUMPRODUCT(($G$4:$G$4=1)*$C$4:$C$4*$K$4:$K$4*(1+Assumptions!$C$17)^(1-1)*Assumptions!$C$41*(($J$4:$J$4*Assumptions!$C$40)+(1-$J$4:$J$4)*Assumptions!$C$39))</f>
        <v/>
      </c>
      <c r="H13" s="28">
        <f>SUMPRODUCT(($G$4:$G$4=2)*$C$4:$C$4*$K$4:$K$4*(1+Assumptions!$C$17)^(2-1)*Assumptions!$C$41*(($J$4:$J$4*Assumptions!$C$40)+(1-$J$4:$J$4)*Assumptions!$C$39))</f>
        <v/>
      </c>
      <c r="I13" s="28">
        <f>SUMPRODUCT(($G$4:$G$4=3)*$C$4:$C$4*$K$4:$K$4*(1+Assumptions!$C$17)^(3-1)*Assumptions!$C$41*(($J$4:$J$4*Assumptions!$C$40)+(1-$J$4:$J$4)*Assumptions!$C$39))</f>
        <v/>
      </c>
      <c r="J13" s="28">
        <f>SUMPRODUCT(($G$4:$G$4=4)*$C$4:$C$4*$K$4:$K$4*(1+Assumptions!$C$17)^(4-1)*Assumptions!$C$41*(($J$4:$J$4*Assumptions!$C$40)+(1-$J$4:$J$4)*Assumptions!$C$39))</f>
        <v/>
      </c>
      <c r="K13" s="28">
        <f>SUMPRODUCT(($G$4:$G$4=5)*$C$4:$C$4*$K$4:$K$4*(1+Assumptions!$C$17)^(5-1)*Assumptions!$C$41*(($J$4:$J$4*Assumptions!$C$40)+(1-$J$4:$J$4)*Assumptions!$C$39))</f>
        <v/>
      </c>
      <c r="L13" s="28">
        <f>SUMPRODUCT(($G$4:$G$4=6)*$C$4:$C$4*$K$4:$K$4*(1+Assumptions!$C$17)^(6-1)*Assumptions!$C$41*(($J$4:$J$4*Assumptions!$C$40)+(1-$J$4:$J$4)*Assumptions!$C$39))</f>
        <v/>
      </c>
      <c r="M13" s="28">
        <f>SUMPRODUCT(($G$4:$G$4=7)*$C$4:$C$4*$K$4:$K$4*(1+Assumptions!$C$17)^(7-1)*Assumptions!$C$41*(($J$4:$J$4*Assumptions!$C$40)+(1-$J$4:$J$4)*Assumptions!$C$39))</f>
        <v/>
      </c>
      <c r="N13" s="28">
        <f>SUMPRODUCT(($G$4:$G$4=8)*$C$4:$C$4*$K$4:$K$4*(1+Assumptions!$C$17)^(8-1)*Assumptions!$C$41*(($J$4:$J$4*Assumptions!$C$40)+(1-$J$4:$J$4)*Assumptions!$C$39))</f>
        <v/>
      </c>
      <c r="O13" s="28">
        <f>SUMPRODUCT(($G$4:$G$4=9)*$C$4:$C$4*$K$4:$K$4*(1+Assumptions!$C$17)^(9-1)*Assumptions!$C$41*(($J$4:$J$4*Assumptions!$C$40)+(1-$J$4:$J$4)*Assumptions!$C$39))</f>
        <v/>
      </c>
      <c r="P13" s="28">
        <f>SUMPRODUCT(($G$4:$G$4=10)*$C$4:$C$4*$K$4:$K$4*(1+Assumptions!$C$17)^(10-1)*Assumptions!$C$41*(($J$4:$J$4*Assumptions!$C$40)+(1-$J$4:$J$4)*Assumptions!$C$39))</f>
        <v/>
      </c>
      <c r="Q13" s="28">
        <f>SUMPRODUCT(($G$4:$G$4=11)*$C$4:$C$4*$K$4:$K$4*(1+Assumptions!$C$17)^(11-1)*Assumptions!$C$41*(($J$4:$J$4*Assumptions!$C$40)+(1-$J$4:$J$4)*Assumptions!$C$39))</f>
        <v/>
      </c>
      <c r="R13" s="28">
        <f>SUMPRODUCT(($G$4:$G$4=12)*$C$4:$C$4*$K$4:$K$4*(1+Assumptions!$C$17)^(12-1)*Assumptions!$C$41*(($J$4:$J$4*Assumptions!$C$40)+(1-$J$4:$J$4)*Assumptions!$C$39))</f>
        <v/>
      </c>
      <c r="S13" s="28">
        <f>SUMPRODUCT(($G$4:$G$4=13)*$C$4:$C$4*$K$4:$K$4*(1+Assumptions!$C$17)^(13-1)*Assumptions!$C$41*(($J$4:$J$4*Assumptions!$C$40)+(1-$J$4:$J$4)*Assumptions!$C$39))</f>
        <v/>
      </c>
      <c r="T13" s="28">
        <f>SUMPRODUCT(($G$4:$G$4=14)*$C$4:$C$4*$K$4:$K$4*(1+Assumptions!$C$17)^(14-1)*Assumptions!$C$41*(($J$4:$J$4*Assumptions!$C$40)+(1-$J$4:$J$4)*Assumptions!$C$39))</f>
        <v/>
      </c>
      <c r="U13" s="28">
        <f>SUMPRODUCT(($G$4:$G$4=15)*$C$4:$C$4*$K$4:$K$4*(1+Assumptions!$C$17)^(15-1)*Assumptions!$C$41*(($J$4:$J$4*Assumptions!$C$40)+(1-$J$4:$J$4)*Assumptions!$C$39))</f>
        <v/>
      </c>
    </row>
    <row r="15">
      <c r="B15" s="3" t="inlineStr">
        <is>
          <t>% of Base Rent Expiring</t>
        </is>
      </c>
      <c r="G15" s="59">
        <f>IFERROR(SUMPRODUCT(($G$4:$G$4=1)*$E$4:$E$4)/SUM($E$4:$E$4),0)</f>
        <v/>
      </c>
      <c r="H15" s="59">
        <f>IFERROR(SUMPRODUCT(($G$4:$G$4=2)*$E$4:$E$4)/SUM($E$4:$E$4),0)</f>
        <v/>
      </c>
      <c r="I15" s="59">
        <f>IFERROR(SUMPRODUCT(($G$4:$G$4=3)*$E$4:$E$4)/SUM($E$4:$E$4),0)</f>
        <v/>
      </c>
      <c r="J15" s="59">
        <f>IFERROR(SUMPRODUCT(($G$4:$G$4=4)*$E$4:$E$4)/SUM($E$4:$E$4),0)</f>
        <v/>
      </c>
      <c r="K15" s="59">
        <f>IFERROR(SUMPRODUCT(($G$4:$G$4=5)*$E$4:$E$4)/SUM($E$4:$E$4),0)</f>
        <v/>
      </c>
      <c r="L15" s="59">
        <f>IFERROR(SUMPRODUCT(($G$4:$G$4=6)*$E$4:$E$4)/SUM($E$4:$E$4),0)</f>
        <v/>
      </c>
      <c r="M15" s="59">
        <f>IFERROR(SUMPRODUCT(($G$4:$G$4=7)*$E$4:$E$4)/SUM($E$4:$E$4),0)</f>
        <v/>
      </c>
      <c r="N15" s="59">
        <f>IFERROR(SUMPRODUCT(($G$4:$G$4=8)*$E$4:$E$4)/SUM($E$4:$E$4),0)</f>
        <v/>
      </c>
      <c r="O15" s="59">
        <f>IFERROR(SUMPRODUCT(($G$4:$G$4=9)*$E$4:$E$4)/SUM($E$4:$E$4),0)</f>
        <v/>
      </c>
      <c r="P15" s="59">
        <f>IFERROR(SUMPRODUCT(($G$4:$G$4=10)*$E$4:$E$4)/SUM($E$4:$E$4),0)</f>
        <v/>
      </c>
      <c r="Q15" s="59">
        <f>IFERROR(SUMPRODUCT(($G$4:$G$4=11)*$E$4:$E$4)/SUM($E$4:$E$4),0)</f>
        <v/>
      </c>
      <c r="R15" s="59">
        <f>IFERROR(SUMPRODUCT(($G$4:$G$4=12)*$E$4:$E$4)/SUM($E$4:$E$4),0)</f>
        <v/>
      </c>
      <c r="S15" s="59">
        <f>IFERROR(SUMPRODUCT(($G$4:$G$4=13)*$E$4:$E$4)/SUM($E$4:$E$4),0)</f>
        <v/>
      </c>
      <c r="T15" s="59">
        <f>IFERROR(SUMPRODUCT(($G$4:$G$4=14)*$E$4:$E$4)/SUM($E$4:$E$4),0)</f>
        <v/>
      </c>
      <c r="U15" s="59">
        <f>IFERROR(SUMPRODUCT(($G$4:$G$4=15)*$E$4:$E$4)/SUM($E$4:$E$4),0)</f>
        <v/>
      </c>
    </row>
    <row r="17">
      <c r="B17" s="11" t="inlineStr">
        <is>
          <t>PORTFOLIO METRICS</t>
        </is>
      </c>
      <c r="C17" s="12" t="inlineStr"/>
    </row>
    <row r="18">
      <c r="B18" s="3" t="inlineStr">
        <is>
          <t># Tenants</t>
        </is>
      </c>
      <c r="C18" s="60" t="n">
        <v>1</v>
      </c>
    </row>
    <row r="19">
      <c r="B19" s="3" t="inlineStr">
        <is>
          <t>WALT (yrs, SF-weighted)</t>
        </is>
      </c>
      <c r="C19" s="61" t="n">
        <v>8</v>
      </c>
    </row>
    <row r="20">
      <c r="B20" s="3" t="inlineStr">
        <is>
          <t>Largest Tenant (% of rent)</t>
        </is>
      </c>
      <c r="C20" s="59">
        <f>MAX($E$4:$E$4)/SUM($E$4:$E$4)</f>
        <v/>
      </c>
    </row>
    <row r="21">
      <c r="B21" s="3" t="inlineStr">
        <is>
          <t>Avg In-Place Rent ($/SF)</t>
        </is>
      </c>
      <c r="C21" s="62">
        <f>SUM($E$4:$E$4)/SUM($C$4:$C$4)</f>
        <v/>
      </c>
    </row>
    <row r="23">
      <c r="B23" s="11" t="inlineStr">
        <is>
          <t>LEASE DETAIL</t>
        </is>
      </c>
      <c r="C23" s="12" t="inlineStr"/>
    </row>
    <row r="24">
      <c r="B24" s="22" t="inlineStr">
        <is>
          <t>Tenant</t>
        </is>
      </c>
      <c r="C24" s="63" t="inlineStr">
        <is>
          <t>Acme Industrial Co.</t>
        </is>
      </c>
    </row>
    <row r="25">
      <c r="B25" s="22" t="inlineStr">
        <is>
          <t>Guaranty</t>
        </is>
      </c>
      <c r="C25" s="63" t="inlineStr">
        <is>
          <t>Operating Company (OpCo) guaranty</t>
        </is>
      </c>
    </row>
    <row r="26">
      <c r="B26" s="22" t="inlineStr">
        <is>
          <t>Lease Type</t>
        </is>
      </c>
      <c r="C26" s="63" t="inlineStr">
        <is>
          <t>Absolute NNN</t>
        </is>
      </c>
    </row>
    <row r="27">
      <c r="B27" s="22" t="inlineStr">
        <is>
          <t>Commencement</t>
        </is>
      </c>
      <c r="C27" s="63" t="inlineStr">
        <is>
          <t>2019-01-01</t>
        </is>
      </c>
    </row>
    <row r="28">
      <c r="B28" s="22" t="inlineStr">
        <is>
          <t>Expiration</t>
        </is>
      </c>
      <c r="C28" s="63" t="inlineStr">
        <is>
          <t>2034-12-31</t>
        </is>
      </c>
    </row>
    <row r="29">
      <c r="B29" s="22" t="inlineStr">
        <is>
          <t>Term Remaining at Close</t>
        </is>
      </c>
      <c r="C29" s="63" t="inlineStr">
        <is>
          <t>9 years remaining at acquisition close (Year 1 of hold = 2027)</t>
        </is>
      </c>
    </row>
    <row r="30">
      <c r="B30" s="22" t="inlineStr">
        <is>
          <t>Escalations</t>
        </is>
      </c>
      <c r="C30" s="63" t="inlineStr">
        <is>
          <t>2.0% annual increases on the anniversary of rent commencement, continuing through option periods</t>
        </is>
      </c>
    </row>
    <row r="31">
      <c r="B31" s="22" t="inlineStr">
        <is>
          <t>Renewal Options</t>
        </is>
      </c>
      <c r="C31" s="63" t="inlineStr">
        <is>
          <t>Two (2) five-year renewal options, each at a 10% bump from the then-current rent, continuing 2.0% annual escalations within each option</t>
        </is>
      </c>
    </row>
    <row r="32">
      <c r="B32" s="64" t="inlineStr">
        <is>
          <t>▲ Bronze-highlighted year columns = lease expiries/rollovers (contractual before; market × renewal prob after).</t>
        </is>
      </c>
    </row>
    <row r="33">
      <c r="B33" s="35" t="inlineStr">
        <is>
          <t>• In-place rent reflects current contractual rent on January 1, 2027 (Year 1 of hold)</t>
        </is>
      </c>
    </row>
    <row r="34">
      <c r="B34" s="35" t="inlineStr">
        <is>
          <t>• Anniversary date for annual 2.0% escalations is January 1 of each calendar year</t>
        </is>
      </c>
    </row>
    <row r="35">
      <c r="B35" s="35" t="inlineStr">
        <is>
          <t>• Rent schedule built from executed lease, verified against estoppel</t>
        </is>
      </c>
    </row>
  </sheetData>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R50"/>
  <sheetViews>
    <sheetView showGridLines="0" workbookViewId="0">
      <pane xSplit="3" ySplit="4" topLeftCell="D5" activePane="bottomRight" state="frozen"/>
      <selection pane="topRight"/>
      <selection pane="bottomLeft"/>
      <selection pane="bottomRight" activeCell="A1" sqref="A1"/>
    </sheetView>
  </sheetViews>
  <sheetFormatPr baseColWidth="8" defaultRowHeight="15"/>
  <cols>
    <col width="40" customWidth="1" min="2" max="2"/>
    <col width="13" customWidth="1" min="3" max="3"/>
    <col width="11.5" customWidth="1" min="4" max="4"/>
    <col width="11.5" customWidth="1" min="5" max="5"/>
    <col width="11.5" customWidth="1" min="6" max="6"/>
    <col width="11.5" customWidth="1" min="7" max="7"/>
    <col width="11.5" customWidth="1" min="8" max="8"/>
    <col width="11.5" customWidth="1" min="9" max="9"/>
    <col width="11.5" customWidth="1" min="10" max="10"/>
    <col width="11.5" customWidth="1" min="11" max="11"/>
    <col width="11.5" customWidth="1" min="12" max="12"/>
    <col width="11.5" customWidth="1" min="13" max="13"/>
    <col width="11.5" customWidth="1" min="14" max="14"/>
    <col width="11.5" customWidth="1" min="15" max="15"/>
    <col width="11.5" customWidth="1" min="16" max="16"/>
    <col width="11.5" customWidth="1" min="17" max="17"/>
    <col width="11.5" customWidth="1" min="18" max="18"/>
  </cols>
  <sheetData>
    <row r="1">
      <c r="B1" s="1" t="inlineStr">
        <is>
          <t>15-Year Operating Cash Flow Pro Forma  ($; exit sized off Hold Period)</t>
        </is>
      </c>
    </row>
    <row r="3">
      <c r="B3" s="55" t="inlineStr">
        <is>
          <t>Line Item ($)</t>
        </is>
      </c>
      <c r="D3" s="44" t="inlineStr">
        <is>
          <t>Year 1</t>
        </is>
      </c>
      <c r="E3" s="44" t="inlineStr">
        <is>
          <t>Year 2</t>
        </is>
      </c>
      <c r="F3" s="44" t="inlineStr">
        <is>
          <t>Year 3</t>
        </is>
      </c>
      <c r="G3" s="44" t="inlineStr">
        <is>
          <t>Year 4</t>
        </is>
      </c>
      <c r="H3" s="44" t="inlineStr">
        <is>
          <t>Year 5</t>
        </is>
      </c>
      <c r="I3" s="44" t="inlineStr">
        <is>
          <t>Year 6</t>
        </is>
      </c>
      <c r="J3" s="44" t="inlineStr">
        <is>
          <t>Year 7</t>
        </is>
      </c>
      <c r="K3" s="56" t="inlineStr">
        <is>
          <t>Year 8</t>
        </is>
      </c>
      <c r="L3" s="44" t="inlineStr">
        <is>
          <t>Year 9</t>
        </is>
      </c>
      <c r="M3" s="44" t="inlineStr">
        <is>
          <t>Year 10</t>
        </is>
      </c>
      <c r="N3" s="44" t="inlineStr">
        <is>
          <t>Year 11</t>
        </is>
      </c>
      <c r="O3" s="44" t="inlineStr">
        <is>
          <t>Year 12</t>
        </is>
      </c>
      <c r="P3" s="44" t="inlineStr">
        <is>
          <t>Year 13</t>
        </is>
      </c>
      <c r="Q3" s="44" t="inlineStr">
        <is>
          <t>Year 14</t>
        </is>
      </c>
      <c r="R3" s="44" t="inlineStr">
        <is>
          <t>Year 15</t>
        </is>
      </c>
    </row>
    <row r="4">
      <c r="B4" s="3" t="inlineStr">
        <is>
          <t>Calendar Year</t>
        </is>
      </c>
      <c r="D4" s="60">
        <f>Assumptions!$C$5+0</f>
        <v/>
      </c>
      <c r="E4" s="60">
        <f>Assumptions!$C$5+1</f>
        <v/>
      </c>
      <c r="F4" s="60">
        <f>Assumptions!$C$5+2</f>
        <v/>
      </c>
      <c r="G4" s="60">
        <f>Assumptions!$C$5+3</f>
        <v/>
      </c>
      <c r="H4" s="60">
        <f>Assumptions!$C$5+4</f>
        <v/>
      </c>
      <c r="I4" s="60">
        <f>Assumptions!$C$5+5</f>
        <v/>
      </c>
      <c r="J4" s="60">
        <f>Assumptions!$C$5+6</f>
        <v/>
      </c>
      <c r="K4" s="60">
        <f>Assumptions!$C$5+7</f>
        <v/>
      </c>
      <c r="L4" s="60">
        <f>Assumptions!$C$5+8</f>
        <v/>
      </c>
      <c r="M4" s="60">
        <f>Assumptions!$C$5+9</f>
        <v/>
      </c>
      <c r="N4" s="60">
        <f>Assumptions!$C$5+10</f>
        <v/>
      </c>
      <c r="O4" s="60">
        <f>Assumptions!$C$5+11</f>
        <v/>
      </c>
      <c r="P4" s="60">
        <f>Assumptions!$C$5+12</f>
        <v/>
      </c>
      <c r="Q4" s="60">
        <f>Assumptions!$C$5+13</f>
        <v/>
      </c>
      <c r="R4" s="60">
        <f>Assumptions!$C$5+14</f>
        <v/>
      </c>
    </row>
    <row r="6">
      <c r="B6" s="11" t="inlineStr">
        <is>
          <t>REVENUE</t>
        </is>
      </c>
    </row>
    <row r="7">
      <c r="B7" s="3" t="inlineStr">
        <is>
          <t>Gross Potential Rent (from Rent Roll)</t>
        </is>
      </c>
      <c r="D7" s="65">
        <f>'Rent Roll'!G10</f>
        <v/>
      </c>
      <c r="E7" s="66">
        <f>'Rent Roll'!H10</f>
        <v/>
      </c>
      <c r="F7" s="66">
        <f>'Rent Roll'!I10</f>
        <v/>
      </c>
      <c r="G7" s="66">
        <f>'Rent Roll'!J10</f>
        <v/>
      </c>
      <c r="H7" s="66">
        <f>'Rent Roll'!K10</f>
        <v/>
      </c>
      <c r="I7" s="66">
        <f>'Rent Roll'!L10</f>
        <v/>
      </c>
      <c r="J7" s="66">
        <f>'Rent Roll'!M10</f>
        <v/>
      </c>
      <c r="K7" s="66">
        <f>'Rent Roll'!N10</f>
        <v/>
      </c>
      <c r="L7" s="66">
        <f>'Rent Roll'!O10</f>
        <v/>
      </c>
      <c r="M7" s="66">
        <f>'Rent Roll'!P10</f>
        <v/>
      </c>
      <c r="N7" s="66">
        <f>'Rent Roll'!Q10</f>
        <v/>
      </c>
      <c r="O7" s="66">
        <f>'Rent Roll'!R10</f>
        <v/>
      </c>
      <c r="P7" s="66">
        <f>'Rent Roll'!S10</f>
        <v/>
      </c>
      <c r="Q7" s="66">
        <f>'Rent Roll'!T10</f>
        <v/>
      </c>
      <c r="R7" s="66">
        <f>'Rent Roll'!U10</f>
        <v/>
      </c>
    </row>
    <row r="8">
      <c r="B8" s="3" t="inlineStr">
        <is>
          <t>Less: Vacancy &amp; Credit Loss</t>
        </is>
      </c>
      <c r="D8" s="40">
        <f>-D7*Assumptions!$C$19</f>
        <v/>
      </c>
      <c r="E8" s="28">
        <f>-E7*Assumptions!$C$19</f>
        <v/>
      </c>
      <c r="F8" s="28">
        <f>-F7*Assumptions!$C$19</f>
        <v/>
      </c>
      <c r="G8" s="28">
        <f>-G7*Assumptions!$C$19</f>
        <v/>
      </c>
      <c r="H8" s="28">
        <f>-H7*Assumptions!$C$19</f>
        <v/>
      </c>
      <c r="I8" s="28">
        <f>-I7*Assumptions!$C$19</f>
        <v/>
      </c>
      <c r="J8" s="28">
        <f>-J7*Assumptions!$C$19</f>
        <v/>
      </c>
      <c r="K8" s="28">
        <f>-K7*Assumptions!$C$19</f>
        <v/>
      </c>
      <c r="L8" s="28">
        <f>-L7*Assumptions!$C$19</f>
        <v/>
      </c>
      <c r="M8" s="28">
        <f>-M7*Assumptions!$C$19</f>
        <v/>
      </c>
      <c r="N8" s="28">
        <f>-N7*Assumptions!$C$19</f>
        <v/>
      </c>
      <c r="O8" s="28">
        <f>-O7*Assumptions!$C$19</f>
        <v/>
      </c>
      <c r="P8" s="28">
        <f>-P7*Assumptions!$C$19</f>
        <v/>
      </c>
      <c r="Q8" s="28">
        <f>-Q7*Assumptions!$C$19</f>
        <v/>
      </c>
      <c r="R8" s="28">
        <f>-R7*Assumptions!$C$19</f>
        <v/>
      </c>
    </row>
    <row r="9">
      <c r="B9" s="3" t="inlineStr">
        <is>
          <t>Effective Rental Income</t>
        </is>
      </c>
      <c r="D9" s="40">
        <f>D7+D8</f>
        <v/>
      </c>
      <c r="E9" s="28">
        <f>E7+E8</f>
        <v/>
      </c>
      <c r="F9" s="28">
        <f>F7+F8</f>
        <v/>
      </c>
      <c r="G9" s="28">
        <f>G7+G8</f>
        <v/>
      </c>
      <c r="H9" s="28">
        <f>H7+H8</f>
        <v/>
      </c>
      <c r="I9" s="28">
        <f>I7+I8</f>
        <v/>
      </c>
      <c r="J9" s="28">
        <f>J7+J8</f>
        <v/>
      </c>
      <c r="K9" s="28">
        <f>K7+K8</f>
        <v/>
      </c>
      <c r="L9" s="28">
        <f>L7+L8</f>
        <v/>
      </c>
      <c r="M9" s="28">
        <f>M7+M8</f>
        <v/>
      </c>
      <c r="N9" s="28">
        <f>N7+N8</f>
        <v/>
      </c>
      <c r="O9" s="28">
        <f>O7+O8</f>
        <v/>
      </c>
      <c r="P9" s="28">
        <f>P7+P8</f>
        <v/>
      </c>
      <c r="Q9" s="28">
        <f>Q7+Q8</f>
        <v/>
      </c>
      <c r="R9" s="28">
        <f>R7+R8</f>
        <v/>
      </c>
    </row>
    <row r="10">
      <c r="B10" s="3" t="inlineStr">
        <is>
          <t>Plus: Tenant Reimbursements (= LL OpEx × Recovery Rate)</t>
        </is>
      </c>
      <c r="D10" s="40">
        <f>D19*Assumptions!$C$22</f>
        <v/>
      </c>
      <c r="E10" s="28">
        <f>E19*Assumptions!$C$22</f>
        <v/>
      </c>
      <c r="F10" s="28">
        <f>F19*Assumptions!$C$22</f>
        <v/>
      </c>
      <c r="G10" s="28">
        <f>G19*Assumptions!$C$22</f>
        <v/>
      </c>
      <c r="H10" s="28">
        <f>H19*Assumptions!$C$22</f>
        <v/>
      </c>
      <c r="I10" s="28">
        <f>I19*Assumptions!$C$22</f>
        <v/>
      </c>
      <c r="J10" s="28">
        <f>J19*Assumptions!$C$22</f>
        <v/>
      </c>
      <c r="K10" s="28">
        <f>K19*Assumptions!$C$22</f>
        <v/>
      </c>
      <c r="L10" s="28">
        <f>L19*Assumptions!$C$22</f>
        <v/>
      </c>
      <c r="M10" s="28">
        <f>M19*Assumptions!$C$22</f>
        <v/>
      </c>
      <c r="N10" s="28">
        <f>N19*Assumptions!$C$22</f>
        <v/>
      </c>
      <c r="O10" s="28">
        <f>O19*Assumptions!$C$22</f>
        <v/>
      </c>
      <c r="P10" s="28">
        <f>P19*Assumptions!$C$22</f>
        <v/>
      </c>
      <c r="Q10" s="28">
        <f>Q19*Assumptions!$C$22</f>
        <v/>
      </c>
      <c r="R10" s="28">
        <f>R19*Assumptions!$C$22</f>
        <v/>
      </c>
    </row>
    <row r="11">
      <c r="B11" s="22" t="inlineStr">
        <is>
          <t>Effective Gross Income (EGI)</t>
        </is>
      </c>
      <c r="D11" s="67">
        <f>D9+D10</f>
        <v/>
      </c>
      <c r="E11" s="68">
        <f>E9+E10</f>
        <v/>
      </c>
      <c r="F11" s="68">
        <f>F9+F10</f>
        <v/>
      </c>
      <c r="G11" s="68">
        <f>G9+G10</f>
        <v/>
      </c>
      <c r="H11" s="68">
        <f>H9+H10</f>
        <v/>
      </c>
      <c r="I11" s="68">
        <f>I9+I10</f>
        <v/>
      </c>
      <c r="J11" s="68">
        <f>J9+J10</f>
        <v/>
      </c>
      <c r="K11" s="68">
        <f>K9+K10</f>
        <v/>
      </c>
      <c r="L11" s="68">
        <f>L9+L10</f>
        <v/>
      </c>
      <c r="M11" s="68">
        <f>M9+M10</f>
        <v/>
      </c>
      <c r="N11" s="68">
        <f>N9+N10</f>
        <v/>
      </c>
      <c r="O11" s="68">
        <f>O9+O10</f>
        <v/>
      </c>
      <c r="P11" s="68">
        <f>P9+P10</f>
        <v/>
      </c>
      <c r="Q11" s="68">
        <f>Q9+Q10</f>
        <v/>
      </c>
      <c r="R11" s="68">
        <f>R9+R10</f>
        <v/>
      </c>
    </row>
    <row r="13">
      <c r="B13" s="11" t="inlineStr">
        <is>
          <t>OPERATING EXPENSES (LL exposure)</t>
        </is>
      </c>
    </row>
    <row r="14">
      <c r="B14" s="3" t="inlineStr">
        <is>
          <t>Real Estate Taxes (LL)</t>
        </is>
      </c>
      <c r="D14" s="40">
        <f>Assumptions!$C$25*(1+Assumptions!$C$30)^(0)</f>
        <v/>
      </c>
      <c r="E14" s="28">
        <f>Assumptions!$C$25*(1+Assumptions!$C$30)^(1)</f>
        <v/>
      </c>
      <c r="F14" s="28">
        <f>Assumptions!$C$25*(1+Assumptions!$C$30)^(2)</f>
        <v/>
      </c>
      <c r="G14" s="28">
        <f>Assumptions!$C$25*(1+Assumptions!$C$30)^(3)</f>
        <v/>
      </c>
      <c r="H14" s="28">
        <f>Assumptions!$C$25*(1+Assumptions!$C$30)^(4)</f>
        <v/>
      </c>
      <c r="I14" s="28">
        <f>Assumptions!$C$25*(1+Assumptions!$C$30)^(5)</f>
        <v/>
      </c>
      <c r="J14" s="28">
        <f>Assumptions!$C$25*(1+Assumptions!$C$30)^(6)</f>
        <v/>
      </c>
      <c r="K14" s="28">
        <f>Assumptions!$C$25*(1+Assumptions!$C$30)^(7)</f>
        <v/>
      </c>
      <c r="L14" s="28">
        <f>Assumptions!$C$25*(1+Assumptions!$C$30)^(8)</f>
        <v/>
      </c>
      <c r="M14" s="28">
        <f>Assumptions!$C$25*(1+Assumptions!$C$30)^(9)</f>
        <v/>
      </c>
      <c r="N14" s="28">
        <f>Assumptions!$C$25*(1+Assumptions!$C$30)^(10)</f>
        <v/>
      </c>
      <c r="O14" s="28">
        <f>Assumptions!$C$25*(1+Assumptions!$C$30)^(11)</f>
        <v/>
      </c>
      <c r="P14" s="28">
        <f>Assumptions!$C$25*(1+Assumptions!$C$30)^(12)</f>
        <v/>
      </c>
      <c r="Q14" s="28">
        <f>Assumptions!$C$25*(1+Assumptions!$C$30)^(13)</f>
        <v/>
      </c>
      <c r="R14" s="28">
        <f>Assumptions!$C$25*(1+Assumptions!$C$30)^(14)</f>
        <v/>
      </c>
    </row>
    <row r="15">
      <c r="B15" s="3" t="inlineStr">
        <is>
          <t>Insurance (LL)</t>
        </is>
      </c>
      <c r="D15" s="40">
        <f>Assumptions!$C$26*(1+Assumptions!$C$31)^(0)</f>
        <v/>
      </c>
      <c r="E15" s="28">
        <f>Assumptions!$C$26*(1+Assumptions!$C$31)^(1)</f>
        <v/>
      </c>
      <c r="F15" s="28">
        <f>Assumptions!$C$26*(1+Assumptions!$C$31)^(2)</f>
        <v/>
      </c>
      <c r="G15" s="28">
        <f>Assumptions!$C$26*(1+Assumptions!$C$31)^(3)</f>
        <v/>
      </c>
      <c r="H15" s="28">
        <f>Assumptions!$C$26*(1+Assumptions!$C$31)^(4)</f>
        <v/>
      </c>
      <c r="I15" s="28">
        <f>Assumptions!$C$26*(1+Assumptions!$C$31)^(5)</f>
        <v/>
      </c>
      <c r="J15" s="28">
        <f>Assumptions!$C$26*(1+Assumptions!$C$31)^(6)</f>
        <v/>
      </c>
      <c r="K15" s="28">
        <f>Assumptions!$C$26*(1+Assumptions!$C$31)^(7)</f>
        <v/>
      </c>
      <c r="L15" s="28">
        <f>Assumptions!$C$26*(1+Assumptions!$C$31)^(8)</f>
        <v/>
      </c>
      <c r="M15" s="28">
        <f>Assumptions!$C$26*(1+Assumptions!$C$31)^(9)</f>
        <v/>
      </c>
      <c r="N15" s="28">
        <f>Assumptions!$C$26*(1+Assumptions!$C$31)^(10)</f>
        <v/>
      </c>
      <c r="O15" s="28">
        <f>Assumptions!$C$26*(1+Assumptions!$C$31)^(11)</f>
        <v/>
      </c>
      <c r="P15" s="28">
        <f>Assumptions!$C$26*(1+Assumptions!$C$31)^(12)</f>
        <v/>
      </c>
      <c r="Q15" s="28">
        <f>Assumptions!$C$26*(1+Assumptions!$C$31)^(13)</f>
        <v/>
      </c>
      <c r="R15" s="28">
        <f>Assumptions!$C$26*(1+Assumptions!$C$31)^(14)</f>
        <v/>
      </c>
    </row>
    <row r="16">
      <c r="B16" s="3" t="inlineStr">
        <is>
          <t>CAM / R&amp;M (LL)</t>
        </is>
      </c>
      <c r="D16" s="40">
        <f>Assumptions!$C$27*(1+Assumptions!$C$29)^(0)</f>
        <v/>
      </c>
      <c r="E16" s="28">
        <f>Assumptions!$C$27*(1+Assumptions!$C$29)^(1)</f>
        <v/>
      </c>
      <c r="F16" s="28">
        <f>Assumptions!$C$27*(1+Assumptions!$C$29)^(2)</f>
        <v/>
      </c>
      <c r="G16" s="28">
        <f>Assumptions!$C$27*(1+Assumptions!$C$29)^(3)</f>
        <v/>
      </c>
      <c r="H16" s="28">
        <f>Assumptions!$C$27*(1+Assumptions!$C$29)^(4)</f>
        <v/>
      </c>
      <c r="I16" s="28">
        <f>Assumptions!$C$27*(1+Assumptions!$C$29)^(5)</f>
        <v/>
      </c>
      <c r="J16" s="28">
        <f>Assumptions!$C$27*(1+Assumptions!$C$29)^(6)</f>
        <v/>
      </c>
      <c r="K16" s="28">
        <f>Assumptions!$C$27*(1+Assumptions!$C$29)^(7)</f>
        <v/>
      </c>
      <c r="L16" s="28">
        <f>Assumptions!$C$27*(1+Assumptions!$C$29)^(8)</f>
        <v/>
      </c>
      <c r="M16" s="28">
        <f>Assumptions!$C$27*(1+Assumptions!$C$29)^(9)</f>
        <v/>
      </c>
      <c r="N16" s="28">
        <f>Assumptions!$C$27*(1+Assumptions!$C$29)^(10)</f>
        <v/>
      </c>
      <c r="O16" s="28">
        <f>Assumptions!$C$27*(1+Assumptions!$C$29)^(11)</f>
        <v/>
      </c>
      <c r="P16" s="28">
        <f>Assumptions!$C$27*(1+Assumptions!$C$29)^(12)</f>
        <v/>
      </c>
      <c r="Q16" s="28">
        <f>Assumptions!$C$27*(1+Assumptions!$C$29)^(13)</f>
        <v/>
      </c>
      <c r="R16" s="28">
        <f>Assumptions!$C$27*(1+Assumptions!$C$29)^(14)</f>
        <v/>
      </c>
    </row>
    <row r="17">
      <c r="B17" s="3" t="inlineStr">
        <is>
          <t>Roof &amp; Structure Reserve (LL)</t>
        </is>
      </c>
      <c r="D17" s="40">
        <f>Assumptions!$C$28*(1+Assumptions!$C$29)^(0)</f>
        <v/>
      </c>
      <c r="E17" s="28">
        <f>Assumptions!$C$28*(1+Assumptions!$C$29)^(1)</f>
        <v/>
      </c>
      <c r="F17" s="28">
        <f>Assumptions!$C$28*(1+Assumptions!$C$29)^(2)</f>
        <v/>
      </c>
      <c r="G17" s="28">
        <f>Assumptions!$C$28*(1+Assumptions!$C$29)^(3)</f>
        <v/>
      </c>
      <c r="H17" s="28">
        <f>Assumptions!$C$28*(1+Assumptions!$C$29)^(4)</f>
        <v/>
      </c>
      <c r="I17" s="28">
        <f>Assumptions!$C$28*(1+Assumptions!$C$29)^(5)</f>
        <v/>
      </c>
      <c r="J17" s="28">
        <f>Assumptions!$C$28*(1+Assumptions!$C$29)^(6)</f>
        <v/>
      </c>
      <c r="K17" s="28">
        <f>Assumptions!$C$28*(1+Assumptions!$C$29)^(7)*(Assumptions!$C$65/12)</f>
        <v/>
      </c>
      <c r="L17" s="28" t="n">
        <v>0</v>
      </c>
      <c r="M17" s="28" t="n">
        <v>0</v>
      </c>
      <c r="N17" s="28" t="n">
        <v>0</v>
      </c>
      <c r="O17" s="28" t="n">
        <v>0</v>
      </c>
      <c r="P17" s="28" t="n">
        <v>0</v>
      </c>
      <c r="Q17" s="28" t="n">
        <v>0</v>
      </c>
      <c r="R17" s="28" t="n">
        <v>0</v>
      </c>
    </row>
    <row r="19">
      <c r="B19" s="22" t="inlineStr">
        <is>
          <t>Total Operating Expenses</t>
        </is>
      </c>
      <c r="D19" s="67">
        <f>SUM(D14:D17)</f>
        <v/>
      </c>
      <c r="E19" s="68">
        <f>SUM(E14:E17)</f>
        <v/>
      </c>
      <c r="F19" s="68">
        <f>SUM(F14:F17)</f>
        <v/>
      </c>
      <c r="G19" s="68">
        <f>SUM(G14:G17)</f>
        <v/>
      </c>
      <c r="H19" s="68">
        <f>SUM(H14:H17)</f>
        <v/>
      </c>
      <c r="I19" s="68">
        <f>SUM(I14:I17)</f>
        <v/>
      </c>
      <c r="J19" s="68">
        <f>SUM(J14:J17)</f>
        <v/>
      </c>
      <c r="K19" s="68">
        <f>SUM(K14:K17)</f>
        <v/>
      </c>
      <c r="L19" s="68">
        <f>SUM(L14:L17)</f>
        <v/>
      </c>
      <c r="M19" s="68">
        <f>SUM(M14:M17)</f>
        <v/>
      </c>
      <c r="N19" s="68">
        <f>SUM(N14:N17)</f>
        <v/>
      </c>
      <c r="O19" s="68">
        <f>SUM(O14:O17)</f>
        <v/>
      </c>
      <c r="P19" s="68">
        <f>SUM(P14:P17)</f>
        <v/>
      </c>
      <c r="Q19" s="68">
        <f>SUM(Q14:Q17)</f>
        <v/>
      </c>
      <c r="R19" s="68">
        <f>SUM(R14:R17)</f>
        <v/>
      </c>
    </row>
    <row r="21">
      <c r="B21" s="69" t="inlineStr">
        <is>
          <t>NET OPERATING INCOME (NOI)</t>
        </is>
      </c>
      <c r="D21" s="57">
        <f>D11-D19</f>
        <v/>
      </c>
      <c r="E21" s="58">
        <f>E11-E19</f>
        <v/>
      </c>
      <c r="F21" s="58">
        <f>F11-F19</f>
        <v/>
      </c>
      <c r="G21" s="58">
        <f>G11-G19</f>
        <v/>
      </c>
      <c r="H21" s="58">
        <f>H11-H19</f>
        <v/>
      </c>
      <c r="I21" s="58">
        <f>I11-I19</f>
        <v/>
      </c>
      <c r="J21" s="58">
        <f>J11-J19</f>
        <v/>
      </c>
      <c r="K21" s="58">
        <f>K11-K19</f>
        <v/>
      </c>
      <c r="L21" s="58">
        <f>L11-L19</f>
        <v/>
      </c>
      <c r="M21" s="58">
        <f>M11-M19</f>
        <v/>
      </c>
      <c r="N21" s="58">
        <f>N11-N19</f>
        <v/>
      </c>
      <c r="O21" s="58">
        <f>O11-O19</f>
        <v/>
      </c>
      <c r="P21" s="58">
        <f>P11-P19</f>
        <v/>
      </c>
      <c r="Q21" s="58">
        <f>Q11-Q19</f>
        <v/>
      </c>
      <c r="R21" s="58">
        <f>R11-R19</f>
        <v/>
      </c>
    </row>
    <row r="22">
      <c r="B22" s="3" t="inlineStr">
        <is>
          <t xml:space="preserve">  NOI per SF</t>
        </is>
      </c>
      <c r="D22" s="70">
        <f>D21/Assumptions!$C$4</f>
        <v/>
      </c>
      <c r="E22" s="29">
        <f>E21/Assumptions!$C$4</f>
        <v/>
      </c>
      <c r="F22" s="29">
        <f>F21/Assumptions!$C$4</f>
        <v/>
      </c>
      <c r="G22" s="29">
        <f>G21/Assumptions!$C$4</f>
        <v/>
      </c>
      <c r="H22" s="29">
        <f>H21/Assumptions!$C$4</f>
        <v/>
      </c>
      <c r="I22" s="29">
        <f>I21/Assumptions!$C$4</f>
        <v/>
      </c>
      <c r="J22" s="29">
        <f>J21/Assumptions!$C$4</f>
        <v/>
      </c>
      <c r="K22" s="29">
        <f>K21/Assumptions!$C$4</f>
        <v/>
      </c>
      <c r="L22" s="29">
        <f>L21/Assumptions!$C$4</f>
        <v/>
      </c>
      <c r="M22" s="29">
        <f>M21/Assumptions!$C$4</f>
        <v/>
      </c>
      <c r="N22" s="29">
        <f>N21/Assumptions!$C$4</f>
        <v/>
      </c>
      <c r="O22" s="29">
        <f>O21/Assumptions!$C$4</f>
        <v/>
      </c>
      <c r="P22" s="29">
        <f>P21/Assumptions!$C$4</f>
        <v/>
      </c>
      <c r="Q22" s="29">
        <f>Q21/Assumptions!$C$4</f>
        <v/>
      </c>
      <c r="R22" s="29">
        <f>R21/Assumptions!$C$4</f>
        <v/>
      </c>
    </row>
    <row r="23">
      <c r="B23" s="3" t="inlineStr">
        <is>
          <t xml:space="preserve">  NOI Growth (YoY)</t>
        </is>
      </c>
      <c r="E23" s="71">
        <f>E21/D21-1</f>
        <v/>
      </c>
      <c r="F23" s="71">
        <f>F21/E21-1</f>
        <v/>
      </c>
      <c r="G23" s="71">
        <f>G21/F21-1</f>
        <v/>
      </c>
      <c r="H23" s="71">
        <f>H21/G21-1</f>
        <v/>
      </c>
      <c r="I23" s="71">
        <f>I21/H21-1</f>
        <v/>
      </c>
      <c r="J23" s="71">
        <f>J21/I21-1</f>
        <v/>
      </c>
      <c r="K23" s="71">
        <f>K21/J21-1</f>
        <v/>
      </c>
      <c r="L23" s="71">
        <f>L21/K21-1</f>
        <v/>
      </c>
      <c r="M23" s="71">
        <f>M21/L21-1</f>
        <v/>
      </c>
      <c r="N23" s="71">
        <f>N21/M21-1</f>
        <v/>
      </c>
      <c r="O23" s="71">
        <f>O21/N21-1</f>
        <v/>
      </c>
      <c r="P23" s="71">
        <f>P21/O21-1</f>
        <v/>
      </c>
      <c r="Q23" s="71">
        <f>Q21/P21-1</f>
        <v/>
      </c>
      <c r="R23" s="71">
        <f>R21/Q21-1</f>
        <v/>
      </c>
    </row>
    <row r="25">
      <c r="B25" s="11" t="inlineStr">
        <is>
          <t>CAPITAL, LEASING &amp; ASSET MGMT (below NOI)</t>
        </is>
      </c>
    </row>
    <row r="26">
      <c r="B26" s="3" t="inlineStr">
        <is>
          <t>Capital Reserves</t>
        </is>
      </c>
      <c r="D26" s="40">
        <f>Assumptions!$C$4*Assumptions!$C$34*(1+Assumptions!$C$29)^(0)</f>
        <v/>
      </c>
      <c r="E26" s="28">
        <f>Assumptions!$C$4*Assumptions!$C$34*(1+Assumptions!$C$29)^(1)</f>
        <v/>
      </c>
      <c r="F26" s="28">
        <f>Assumptions!$C$4*Assumptions!$C$34*(1+Assumptions!$C$29)^(2)</f>
        <v/>
      </c>
      <c r="G26" s="28">
        <f>Assumptions!$C$4*Assumptions!$C$34*(1+Assumptions!$C$29)^(3)</f>
        <v/>
      </c>
      <c r="H26" s="28">
        <f>Assumptions!$C$4*Assumptions!$C$34*(1+Assumptions!$C$29)^(4)</f>
        <v/>
      </c>
      <c r="I26" s="28">
        <f>Assumptions!$C$4*Assumptions!$C$34*(1+Assumptions!$C$29)^(5)</f>
        <v/>
      </c>
      <c r="J26" s="28">
        <f>Assumptions!$C$4*Assumptions!$C$34*(1+Assumptions!$C$29)^(6)</f>
        <v/>
      </c>
      <c r="K26" s="28">
        <f>Assumptions!$C$4*Assumptions!$C$34*(1+Assumptions!$C$29)^(7)</f>
        <v/>
      </c>
      <c r="L26" s="28">
        <f>Assumptions!$C$4*Assumptions!$C$34*(1+Assumptions!$C$29)^(8)</f>
        <v/>
      </c>
      <c r="M26" s="28">
        <f>Assumptions!$C$4*Assumptions!$C$34*(1+Assumptions!$C$29)^(9)</f>
        <v/>
      </c>
      <c r="N26" s="28">
        <f>Assumptions!$C$4*Assumptions!$C$34*(1+Assumptions!$C$29)^(10)</f>
        <v/>
      </c>
      <c r="O26" s="28">
        <f>Assumptions!$C$4*Assumptions!$C$34*(1+Assumptions!$C$29)^(11)</f>
        <v/>
      </c>
      <c r="P26" s="28">
        <f>Assumptions!$C$4*Assumptions!$C$34*(1+Assumptions!$C$29)^(12)</f>
        <v/>
      </c>
      <c r="Q26" s="28">
        <f>Assumptions!$C$4*Assumptions!$C$34*(1+Assumptions!$C$29)^(13)</f>
        <v/>
      </c>
      <c r="R26" s="28">
        <f>Assumptions!$C$4*Assumptions!$C$34*(1+Assumptions!$C$29)^(14)</f>
        <v/>
      </c>
    </row>
    <row r="27">
      <c r="B27" s="3" t="inlineStr">
        <is>
          <t>Asset Mgmt / Misc</t>
        </is>
      </c>
      <c r="D27" s="40">
        <f>Assumptions!$C$35*(1+Assumptions!$C$36)^(0)</f>
        <v/>
      </c>
      <c r="E27" s="28">
        <f>Assumptions!$C$35*(1+Assumptions!$C$36)^(1)</f>
        <v/>
      </c>
      <c r="F27" s="28">
        <f>Assumptions!$C$35*(1+Assumptions!$C$36)^(2)</f>
        <v/>
      </c>
      <c r="G27" s="28">
        <f>Assumptions!$C$35*(1+Assumptions!$C$36)^(3)</f>
        <v/>
      </c>
      <c r="H27" s="28">
        <f>Assumptions!$C$35*(1+Assumptions!$C$36)^(4)</f>
        <v/>
      </c>
      <c r="I27" s="28">
        <f>Assumptions!$C$35*(1+Assumptions!$C$36)^(5)</f>
        <v/>
      </c>
      <c r="J27" s="28">
        <f>Assumptions!$C$35*(1+Assumptions!$C$36)^(6)</f>
        <v/>
      </c>
      <c r="K27" s="28">
        <f>Assumptions!$C$35*(1+Assumptions!$C$36)^(7)</f>
        <v/>
      </c>
      <c r="L27" s="28">
        <f>Assumptions!$C$35*(1+Assumptions!$C$36)^(8)</f>
        <v/>
      </c>
      <c r="M27" s="28">
        <f>Assumptions!$C$35*(1+Assumptions!$C$36)^(9)</f>
        <v/>
      </c>
      <c r="N27" s="28">
        <f>Assumptions!$C$35*(1+Assumptions!$C$36)^(10)</f>
        <v/>
      </c>
      <c r="O27" s="28">
        <f>Assumptions!$C$35*(1+Assumptions!$C$36)^(11)</f>
        <v/>
      </c>
      <c r="P27" s="28">
        <f>Assumptions!$C$35*(1+Assumptions!$C$36)^(12)</f>
        <v/>
      </c>
      <c r="Q27" s="28">
        <f>Assumptions!$C$35*(1+Assumptions!$C$36)^(13)</f>
        <v/>
      </c>
      <c r="R27" s="28">
        <f>Assumptions!$C$35*(1+Assumptions!$C$36)^(14)</f>
        <v/>
      </c>
    </row>
    <row r="28">
      <c r="B28" s="3" t="inlineStr">
        <is>
          <t>Tenant Improvements (TI) — re-lease</t>
        </is>
      </c>
      <c r="D28" s="65">
        <f>'Rent Roll'!G12</f>
        <v/>
      </c>
      <c r="E28" s="66">
        <f>'Rent Roll'!H12</f>
        <v/>
      </c>
      <c r="F28" s="66">
        <f>'Rent Roll'!I12</f>
        <v/>
      </c>
      <c r="G28" s="66">
        <f>'Rent Roll'!J12</f>
        <v/>
      </c>
      <c r="H28" s="66">
        <f>'Rent Roll'!K12</f>
        <v/>
      </c>
      <c r="I28" s="66">
        <f>'Rent Roll'!L12</f>
        <v/>
      </c>
      <c r="J28" s="66">
        <f>'Rent Roll'!M12</f>
        <v/>
      </c>
      <c r="K28" s="66">
        <f>'Rent Roll'!N12</f>
        <v/>
      </c>
      <c r="L28" s="66">
        <f>'Rent Roll'!O12</f>
        <v/>
      </c>
      <c r="M28" s="66">
        <f>'Rent Roll'!P12</f>
        <v/>
      </c>
      <c r="N28" s="66">
        <f>'Rent Roll'!Q12</f>
        <v/>
      </c>
      <c r="O28" s="66">
        <f>'Rent Roll'!R12</f>
        <v/>
      </c>
      <c r="P28" s="66">
        <f>'Rent Roll'!S12</f>
        <v/>
      </c>
      <c r="Q28" s="66">
        <f>'Rent Roll'!T12</f>
        <v/>
      </c>
      <c r="R28" s="66">
        <f>'Rent Roll'!U12</f>
        <v/>
      </c>
    </row>
    <row r="29">
      <c r="B29" s="3" t="inlineStr">
        <is>
          <t>Leasing Commissions (LC) — re-lease</t>
        </is>
      </c>
      <c r="D29" s="65">
        <f>'Rent Roll'!G13</f>
        <v/>
      </c>
      <c r="E29" s="66">
        <f>'Rent Roll'!H13</f>
        <v/>
      </c>
      <c r="F29" s="66">
        <f>'Rent Roll'!I13</f>
        <v/>
      </c>
      <c r="G29" s="66">
        <f>'Rent Roll'!J13</f>
        <v/>
      </c>
      <c r="H29" s="66">
        <f>'Rent Roll'!K13</f>
        <v/>
      </c>
      <c r="I29" s="66">
        <f>'Rent Roll'!L13</f>
        <v/>
      </c>
      <c r="J29" s="66">
        <f>'Rent Roll'!M13</f>
        <v/>
      </c>
      <c r="K29" s="66">
        <f>'Rent Roll'!N13</f>
        <v/>
      </c>
      <c r="L29" s="66">
        <f>'Rent Roll'!O13</f>
        <v/>
      </c>
      <c r="M29" s="66">
        <f>'Rent Roll'!P13</f>
        <v/>
      </c>
      <c r="N29" s="66">
        <f>'Rent Roll'!Q13</f>
        <v/>
      </c>
      <c r="O29" s="66">
        <f>'Rent Roll'!R13</f>
        <v/>
      </c>
      <c r="P29" s="66">
        <f>'Rent Roll'!S13</f>
        <v/>
      </c>
      <c r="Q29" s="66">
        <f>'Rent Roll'!T13</f>
        <v/>
      </c>
      <c r="R29" s="66">
        <f>'Rent Roll'!U13</f>
        <v/>
      </c>
    </row>
    <row r="30">
      <c r="B30" s="22" t="inlineStr">
        <is>
          <t>Total Capital Costs</t>
        </is>
      </c>
      <c r="D30" s="67">
        <f>SUM(D26:D29)</f>
        <v/>
      </c>
      <c r="E30" s="68">
        <f>SUM(E26:E29)</f>
        <v/>
      </c>
      <c r="F30" s="68">
        <f>SUM(F26:F29)</f>
        <v/>
      </c>
      <c r="G30" s="68">
        <f>SUM(G26:G29)</f>
        <v/>
      </c>
      <c r="H30" s="68">
        <f>SUM(H26:H29)</f>
        <v/>
      </c>
      <c r="I30" s="68">
        <f>SUM(I26:I29)</f>
        <v/>
      </c>
      <c r="J30" s="68">
        <f>SUM(J26:J29)</f>
        <v/>
      </c>
      <c r="K30" s="68">
        <f>SUM(K26:K29)</f>
        <v/>
      </c>
      <c r="L30" s="68">
        <f>SUM(L26:L29)</f>
        <v/>
      </c>
      <c r="M30" s="68">
        <f>SUM(M26:M29)</f>
        <v/>
      </c>
      <c r="N30" s="68">
        <f>SUM(N26:N29)</f>
        <v/>
      </c>
      <c r="O30" s="68">
        <f>SUM(O26:O29)</f>
        <v/>
      </c>
      <c r="P30" s="68">
        <f>SUM(P26:P29)</f>
        <v/>
      </c>
      <c r="Q30" s="68">
        <f>SUM(Q26:Q29)</f>
        <v/>
      </c>
      <c r="R30" s="68">
        <f>SUM(R26:R29)</f>
        <v/>
      </c>
    </row>
    <row r="32">
      <c r="B32" s="69" t="inlineStr">
        <is>
          <t>CASH FLOW BEFORE DEBT (UNLEVERED)</t>
        </is>
      </c>
      <c r="D32" s="57">
        <f>D21-D30</f>
        <v/>
      </c>
      <c r="E32" s="58">
        <f>E21-E30</f>
        <v/>
      </c>
      <c r="F32" s="58">
        <f>F21-F30</f>
        <v/>
      </c>
      <c r="G32" s="58">
        <f>G21-G30</f>
        <v/>
      </c>
      <c r="H32" s="58">
        <f>H21-H30</f>
        <v/>
      </c>
      <c r="I32" s="58">
        <f>I21-I30</f>
        <v/>
      </c>
      <c r="J32" s="58">
        <f>J21-J30</f>
        <v/>
      </c>
      <c r="K32" s="58">
        <f>K21-K30</f>
        <v/>
      </c>
      <c r="L32" s="58">
        <f>L21-L30</f>
        <v/>
      </c>
      <c r="M32" s="58">
        <f>M21-M30</f>
        <v/>
      </c>
      <c r="N32" s="58">
        <f>N21-N30</f>
        <v/>
      </c>
      <c r="O32" s="58">
        <f>O21-O30</f>
        <v/>
      </c>
      <c r="P32" s="58">
        <f>P21-P30</f>
        <v/>
      </c>
      <c r="Q32" s="58">
        <f>Q21-Q30</f>
        <v/>
      </c>
      <c r="R32" s="58">
        <f>R21-R30</f>
        <v/>
      </c>
    </row>
    <row r="34">
      <c r="B34" s="11" t="inlineStr">
        <is>
          <t>DEBT SERVICE &amp; LEVERED RETURNS</t>
        </is>
      </c>
    </row>
    <row r="35">
      <c r="B35" s="3" t="inlineStr">
        <is>
          <t>Debt Service (from Debt sheet)</t>
        </is>
      </c>
      <c r="D35" s="65">
        <f>-Debt!D11</f>
        <v/>
      </c>
      <c r="E35" s="66">
        <f>-Debt!E11</f>
        <v/>
      </c>
      <c r="F35" s="66">
        <f>-Debt!F11</f>
        <v/>
      </c>
      <c r="G35" s="66">
        <f>-Debt!G11</f>
        <v/>
      </c>
      <c r="H35" s="66">
        <f>-Debt!H11</f>
        <v/>
      </c>
      <c r="I35" s="66">
        <f>-Debt!I11</f>
        <v/>
      </c>
      <c r="J35" s="66">
        <f>-Debt!J11</f>
        <v/>
      </c>
      <c r="K35" s="66">
        <f>-Debt!K11</f>
        <v/>
      </c>
      <c r="L35" s="66">
        <f>-Debt!L11</f>
        <v/>
      </c>
      <c r="M35" s="66">
        <f>-Debt!M11</f>
        <v/>
      </c>
      <c r="N35" s="66">
        <f>-Debt!N11</f>
        <v/>
      </c>
      <c r="O35" s="66">
        <f>-Debt!O11</f>
        <v/>
      </c>
      <c r="P35" s="66">
        <f>-Debt!P11</f>
        <v/>
      </c>
      <c r="Q35" s="66">
        <f>-Debt!Q11</f>
        <v/>
      </c>
      <c r="R35" s="66">
        <f>-Debt!R11</f>
        <v/>
      </c>
    </row>
    <row r="36">
      <c r="B36" s="3" t="inlineStr">
        <is>
          <t>Plus: Refi Cash-Out to Equity</t>
        </is>
      </c>
      <c r="D36" s="40">
        <f>IF(AND(Assumptions!$C$83=1,1=Assumptions!$C$84),Assumptions!$C$92,0)</f>
        <v/>
      </c>
      <c r="E36" s="28">
        <f>IF(AND(Assumptions!$C$83=1,2=Assumptions!$C$84),Assumptions!$C$92,0)</f>
        <v/>
      </c>
      <c r="F36" s="28">
        <f>IF(AND(Assumptions!$C$83=1,3=Assumptions!$C$84),Assumptions!$C$92,0)</f>
        <v/>
      </c>
      <c r="G36" s="28">
        <f>IF(AND(Assumptions!$C$83=1,4=Assumptions!$C$84),Assumptions!$C$92,0)</f>
        <v/>
      </c>
      <c r="H36" s="28">
        <f>IF(AND(Assumptions!$C$83=1,5=Assumptions!$C$84),Assumptions!$C$92,0)</f>
        <v/>
      </c>
      <c r="I36" s="28">
        <f>IF(AND(Assumptions!$C$83=1,6=Assumptions!$C$84),Assumptions!$C$92,0)</f>
        <v/>
      </c>
      <c r="J36" s="28">
        <f>IF(AND(Assumptions!$C$83=1,7=Assumptions!$C$84),Assumptions!$C$92,0)</f>
        <v/>
      </c>
      <c r="K36" s="28">
        <f>IF(AND(Assumptions!$C$83=1,8=Assumptions!$C$84),Assumptions!$C$92,0)</f>
        <v/>
      </c>
      <c r="L36" s="28">
        <f>IF(AND(Assumptions!$C$83=1,9=Assumptions!$C$84),Assumptions!$C$92,0)</f>
        <v/>
      </c>
      <c r="M36" s="28">
        <f>IF(AND(Assumptions!$C$83=1,10=Assumptions!$C$84),Assumptions!$C$92,0)</f>
        <v/>
      </c>
      <c r="N36" s="28">
        <f>IF(AND(Assumptions!$C$83=1,11=Assumptions!$C$84),Assumptions!$C$92,0)</f>
        <v/>
      </c>
      <c r="O36" s="28">
        <f>IF(AND(Assumptions!$C$83=1,12=Assumptions!$C$84),Assumptions!$C$92,0)</f>
        <v/>
      </c>
      <c r="P36" s="28">
        <f>IF(AND(Assumptions!$C$83=1,13=Assumptions!$C$84),Assumptions!$C$92,0)</f>
        <v/>
      </c>
      <c r="Q36" s="28">
        <f>IF(AND(Assumptions!$C$83=1,14=Assumptions!$C$84),Assumptions!$C$92,0)</f>
        <v/>
      </c>
      <c r="R36" s="28">
        <f>IF(AND(Assumptions!$C$83=1,15=Assumptions!$C$84),Assumptions!$C$92,0)</f>
        <v/>
      </c>
    </row>
    <row r="37">
      <c r="B37" s="69" t="inlineStr">
        <is>
          <t>LEVERED CASH FLOW</t>
        </is>
      </c>
      <c r="D37" s="57">
        <f>D32+D35+D36</f>
        <v/>
      </c>
      <c r="E37" s="58">
        <f>E32+E35+E36</f>
        <v/>
      </c>
      <c r="F37" s="58">
        <f>F32+F35+F36</f>
        <v/>
      </c>
      <c r="G37" s="58">
        <f>G32+G35+G36</f>
        <v/>
      </c>
      <c r="H37" s="58">
        <f>H32+H35+H36</f>
        <v/>
      </c>
      <c r="I37" s="58">
        <f>I32+I35+I36</f>
        <v/>
      </c>
      <c r="J37" s="58">
        <f>J32+J35+J36</f>
        <v/>
      </c>
      <c r="K37" s="58">
        <f>K32+K35+K36</f>
        <v/>
      </c>
      <c r="L37" s="58">
        <f>L32+L35+L36</f>
        <v/>
      </c>
      <c r="M37" s="58">
        <f>M32+M35+M36</f>
        <v/>
      </c>
      <c r="N37" s="58">
        <f>N32+N35+N36</f>
        <v/>
      </c>
      <c r="O37" s="58">
        <f>O32+O35+O36</f>
        <v/>
      </c>
      <c r="P37" s="58">
        <f>P32+P35+P36</f>
        <v/>
      </c>
      <c r="Q37" s="58">
        <f>Q32+Q35+Q36</f>
        <v/>
      </c>
      <c r="R37" s="58">
        <f>R32+R35+R36</f>
        <v/>
      </c>
    </row>
    <row r="38">
      <c r="B38" s="3" t="inlineStr">
        <is>
          <t xml:space="preserve">  Cash-on-Cash (levered)</t>
        </is>
      </c>
      <c r="D38" s="59">
        <f>D37/Assumptions!$C$56</f>
        <v/>
      </c>
      <c r="E38" s="59">
        <f>E37/Assumptions!$C$56</f>
        <v/>
      </c>
      <c r="F38" s="59">
        <f>F37/Assumptions!$C$56</f>
        <v/>
      </c>
      <c r="G38" s="59">
        <f>G37/Assumptions!$C$56</f>
        <v/>
      </c>
      <c r="H38" s="59">
        <f>H37/Assumptions!$C$56</f>
        <v/>
      </c>
      <c r="I38" s="59">
        <f>I37/Assumptions!$C$56</f>
        <v/>
      </c>
      <c r="J38" s="59">
        <f>J37/Assumptions!$C$56</f>
        <v/>
      </c>
      <c r="K38" s="59">
        <f>K37/Assumptions!$C$56</f>
        <v/>
      </c>
      <c r="L38" s="59">
        <f>L37/Assumptions!$C$56</f>
        <v/>
      </c>
      <c r="M38" s="59">
        <f>M37/Assumptions!$C$56</f>
        <v/>
      </c>
      <c r="N38" s="59">
        <f>N37/Assumptions!$C$56</f>
        <v/>
      </c>
      <c r="O38" s="59">
        <f>O37/Assumptions!$C$56</f>
        <v/>
      </c>
      <c r="P38" s="59">
        <f>P37/Assumptions!$C$56</f>
        <v/>
      </c>
      <c r="Q38" s="59">
        <f>Q37/Assumptions!$C$56</f>
        <v/>
      </c>
      <c r="R38" s="59">
        <f>R37/Assumptions!$C$56</f>
        <v/>
      </c>
    </row>
    <row r="39">
      <c r="B39" s="3" t="inlineStr">
        <is>
          <t xml:space="preserve">  DSCR</t>
        </is>
      </c>
      <c r="D39" s="72">
        <f>IFERROR(D21/(-D35),"N/A")</f>
        <v/>
      </c>
      <c r="E39" s="72">
        <f>IFERROR(E21/(-E35),"N/A")</f>
        <v/>
      </c>
      <c r="F39" s="72">
        <f>IFERROR(F21/(-F35),"N/A")</f>
        <v/>
      </c>
      <c r="G39" s="72">
        <f>IFERROR(G21/(-G35),"N/A")</f>
        <v/>
      </c>
      <c r="H39" s="72">
        <f>IFERROR(H21/(-H35),"N/A")</f>
        <v/>
      </c>
      <c r="I39" s="72">
        <f>IFERROR(I21/(-I35),"N/A")</f>
        <v/>
      </c>
      <c r="J39" s="72">
        <f>IFERROR(J21/(-J35),"N/A")</f>
        <v/>
      </c>
      <c r="K39" s="72">
        <f>IFERROR(K21/(-K35),"N/A")</f>
        <v/>
      </c>
      <c r="L39" s="72">
        <f>IFERROR(L21/(-L35),"N/A")</f>
        <v/>
      </c>
      <c r="M39" s="72">
        <f>IFERROR(M21/(-M35),"N/A")</f>
        <v/>
      </c>
      <c r="N39" s="72">
        <f>IFERROR(N21/(-N35),"N/A")</f>
        <v/>
      </c>
      <c r="O39" s="72">
        <f>IFERROR(O21/(-O35),"N/A")</f>
        <v/>
      </c>
      <c r="P39" s="72">
        <f>IFERROR(P21/(-P35),"N/A")</f>
        <v/>
      </c>
      <c r="Q39" s="72">
        <f>IFERROR(Q21/(-Q35),"N/A")</f>
        <v/>
      </c>
      <c r="R39" s="72">
        <f>IFERROR(R21/(-R35),"N/A")</f>
        <v/>
      </c>
    </row>
    <row r="41">
      <c r="B41" s="11" t="inlineStr">
        <is>
          <t>SALE PROCEEDS (end of Hold year)</t>
        </is>
      </c>
      <c r="C41" s="12" t="inlineStr"/>
    </row>
    <row r="42">
      <c r="B42" s="3" t="inlineStr">
        <is>
          <t>Exit-year forward NOI (Hold+1)</t>
        </is>
      </c>
      <c r="C42" s="40">
        <f>INDEX($D$21:$R$21,1,Assumptions!$C$6+1)</f>
        <v/>
      </c>
    </row>
    <row r="43">
      <c r="B43" s="22" t="inlineStr">
        <is>
          <t>Gross Sale Price (fwd NOI / Exit Cap)</t>
        </is>
      </c>
      <c r="C43" s="41">
        <f>C42/Assumptions!$C$44</f>
        <v/>
      </c>
    </row>
    <row r="44">
      <c r="B44" s="3" t="inlineStr">
        <is>
          <t>Less: Disposition Costs</t>
        </is>
      </c>
      <c r="C44" s="40">
        <f>-C43*Assumptions!$C$45</f>
        <v/>
      </c>
    </row>
    <row r="45">
      <c r="B45" s="3" t="inlineStr">
        <is>
          <t>Net Sale Proceeds</t>
        </is>
      </c>
      <c r="C45" s="40">
        <f>C43+C44</f>
        <v/>
      </c>
    </row>
    <row r="46">
      <c r="B46" s="3" t="inlineStr">
        <is>
          <t>Less: Loan Payoff (Hold-yr balance)</t>
        </is>
      </c>
      <c r="C46" s="65">
        <f>-INDEX(Debt!$D$9:$R$9,1,Assumptions!$C$6)</f>
        <v/>
      </c>
    </row>
    <row r="47">
      <c r="B47" s="22" t="inlineStr">
        <is>
          <t>Net Sale Proceeds to Equity</t>
        </is>
      </c>
      <c r="C47" s="57">
        <f>C45+C46</f>
        <v/>
      </c>
    </row>
    <row r="49">
      <c r="B49" s="22" t="inlineStr">
        <is>
          <t>Unlevered Total CF (incl. sale in Hold yr)</t>
        </is>
      </c>
      <c r="D49" s="40">
        <f>D32+IF(1=Assumptions!$C$6,$C$45,0)</f>
        <v/>
      </c>
      <c r="E49" s="28">
        <f>E32+IF(2=Assumptions!$C$6,$C$45,0)</f>
        <v/>
      </c>
      <c r="F49" s="28">
        <f>F32+IF(3=Assumptions!$C$6,$C$45,0)</f>
        <v/>
      </c>
      <c r="G49" s="28">
        <f>G32+IF(4=Assumptions!$C$6,$C$45,0)</f>
        <v/>
      </c>
      <c r="H49" s="28">
        <f>H32+IF(5=Assumptions!$C$6,$C$45,0)</f>
        <v/>
      </c>
      <c r="I49" s="28">
        <f>I32+IF(6=Assumptions!$C$6,$C$45,0)</f>
        <v/>
      </c>
      <c r="J49" s="28">
        <f>J32+IF(7=Assumptions!$C$6,$C$45,0)</f>
        <v/>
      </c>
      <c r="K49" s="28">
        <f>K32+IF(8=Assumptions!$C$6,$C$45,0)</f>
        <v/>
      </c>
      <c r="L49" s="28">
        <f>L32+IF(9=Assumptions!$C$6,$C$45,0)</f>
        <v/>
      </c>
      <c r="M49" s="28">
        <f>M32+IF(10=Assumptions!$C$6,$C$45,0)</f>
        <v/>
      </c>
      <c r="N49" s="28">
        <f>N32+IF(11=Assumptions!$C$6,$C$45,0)</f>
        <v/>
      </c>
      <c r="O49" s="28">
        <f>O32+IF(12=Assumptions!$C$6,$C$45,0)</f>
        <v/>
      </c>
      <c r="P49" s="28">
        <f>P32+IF(13=Assumptions!$C$6,$C$45,0)</f>
        <v/>
      </c>
      <c r="Q49" s="28">
        <f>Q32+IF(14=Assumptions!$C$6,$C$45,0)</f>
        <v/>
      </c>
      <c r="R49" s="28">
        <f>R32+IF(15=Assumptions!$C$6,$C$45,0)</f>
        <v/>
      </c>
    </row>
    <row r="50">
      <c r="B50" s="22" t="inlineStr">
        <is>
          <t>Levered Total CF (incl. sale in Hold yr)</t>
        </is>
      </c>
      <c r="D50" s="40">
        <f>D37+IF(1=Assumptions!$C$6,$C$47,0)</f>
        <v/>
      </c>
      <c r="E50" s="28">
        <f>E37+IF(2=Assumptions!$C$6,$C$47,0)</f>
        <v/>
      </c>
      <c r="F50" s="28">
        <f>F37+IF(3=Assumptions!$C$6,$C$47,0)</f>
        <v/>
      </c>
      <c r="G50" s="28">
        <f>G37+IF(4=Assumptions!$C$6,$C$47,0)</f>
        <v/>
      </c>
      <c r="H50" s="28">
        <f>H37+IF(5=Assumptions!$C$6,$C$47,0)</f>
        <v/>
      </c>
      <c r="I50" s="28">
        <f>I37+IF(6=Assumptions!$C$6,$C$47,0)</f>
        <v/>
      </c>
      <c r="J50" s="28">
        <f>J37+IF(7=Assumptions!$C$6,$C$47,0)</f>
        <v/>
      </c>
      <c r="K50" s="28">
        <f>K37+IF(8=Assumptions!$C$6,$C$47,0)</f>
        <v/>
      </c>
      <c r="L50" s="28">
        <f>L37+IF(9=Assumptions!$C$6,$C$47,0)</f>
        <v/>
      </c>
      <c r="M50" s="28">
        <f>M37+IF(10=Assumptions!$C$6,$C$47,0)</f>
        <v/>
      </c>
      <c r="N50" s="28">
        <f>N37+IF(11=Assumptions!$C$6,$C$47,0)</f>
        <v/>
      </c>
      <c r="O50" s="28">
        <f>O37+IF(12=Assumptions!$C$6,$C$47,0)</f>
        <v/>
      </c>
      <c r="P50" s="28">
        <f>P37+IF(13=Assumptions!$C$6,$C$47,0)</f>
        <v/>
      </c>
      <c r="Q50" s="28">
        <f>Q37+IF(14=Assumptions!$C$6,$C$47,0)</f>
        <v/>
      </c>
      <c r="R50" s="28">
        <f>R37+IF(15=Assumptions!$C$6,$C$47,0)</f>
        <v/>
      </c>
    </row>
  </sheetData>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R14"/>
  <sheetViews>
    <sheetView showGridLines="0" workbookViewId="0">
      <pane xSplit="3" ySplit="4" topLeftCell="D5" activePane="bottomRight" state="frozen"/>
      <selection pane="topRight"/>
      <selection pane="bottomLeft"/>
      <selection pane="bottomRight" activeCell="A1" sqref="A1"/>
    </sheetView>
  </sheetViews>
  <sheetFormatPr baseColWidth="8" defaultRowHeight="15"/>
  <cols>
    <col width="32" customWidth="1" min="2" max="2"/>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 width="12" customWidth="1" min="18" max="18"/>
  </cols>
  <sheetData>
    <row r="1">
      <c r="B1" s="1" t="inlineStr">
        <is>
          <t>Debt Schedule  ($; loan from Assumptions; flex LTV/rate/amort/IO)</t>
        </is>
      </c>
    </row>
    <row r="3">
      <c r="B3" s="55" t="inlineStr">
        <is>
          <t>Line Item ($)</t>
        </is>
      </c>
      <c r="D3" s="44" t="inlineStr">
        <is>
          <t>Year 1</t>
        </is>
      </c>
      <c r="E3" s="44" t="inlineStr">
        <is>
          <t>Year 2</t>
        </is>
      </c>
      <c r="F3" s="44" t="inlineStr">
        <is>
          <t>Year 3</t>
        </is>
      </c>
      <c r="G3" s="44" t="inlineStr">
        <is>
          <t>Year 4</t>
        </is>
      </c>
      <c r="H3" s="44" t="inlineStr">
        <is>
          <t>Year 5</t>
        </is>
      </c>
      <c r="I3" s="44" t="inlineStr">
        <is>
          <t>Year 6</t>
        </is>
      </c>
      <c r="J3" s="44" t="inlineStr">
        <is>
          <t>Year 7</t>
        </is>
      </c>
      <c r="K3" s="44" t="inlineStr">
        <is>
          <t>Year 8</t>
        </is>
      </c>
      <c r="L3" s="44" t="inlineStr">
        <is>
          <t>Year 9</t>
        </is>
      </c>
      <c r="M3" s="44" t="inlineStr">
        <is>
          <t>Year 10</t>
        </is>
      </c>
      <c r="N3" s="44" t="inlineStr">
        <is>
          <t>Year 11</t>
        </is>
      </c>
      <c r="O3" s="44" t="inlineStr">
        <is>
          <t>Year 12</t>
        </is>
      </c>
      <c r="P3" s="44" t="inlineStr">
        <is>
          <t>Year 13</t>
        </is>
      </c>
      <c r="Q3" s="44" t="inlineStr">
        <is>
          <t>Year 14</t>
        </is>
      </c>
      <c r="R3" s="44" t="inlineStr">
        <is>
          <t>Year 15</t>
        </is>
      </c>
    </row>
    <row r="4">
      <c r="B4" s="3" t="inlineStr">
        <is>
          <t>Calendar Year</t>
        </is>
      </c>
      <c r="D4" s="60">
        <f>Assumptions!$C$5+0</f>
        <v/>
      </c>
      <c r="E4" s="60">
        <f>Assumptions!$C$5+1</f>
        <v/>
      </c>
      <c r="F4" s="60">
        <f>Assumptions!$C$5+2</f>
        <v/>
      </c>
      <c r="G4" s="60">
        <f>Assumptions!$C$5+3</f>
        <v/>
      </c>
      <c r="H4" s="60">
        <f>Assumptions!$C$5+4</f>
        <v/>
      </c>
      <c r="I4" s="60">
        <f>Assumptions!$C$5+5</f>
        <v/>
      </c>
      <c r="J4" s="60">
        <f>Assumptions!$C$5+6</f>
        <v/>
      </c>
      <c r="K4" s="60">
        <f>Assumptions!$C$5+7</f>
        <v/>
      </c>
      <c r="L4" s="60">
        <f>Assumptions!$C$5+8</f>
        <v/>
      </c>
      <c r="M4" s="60">
        <f>Assumptions!$C$5+9</f>
        <v/>
      </c>
      <c r="N4" s="60">
        <f>Assumptions!$C$5+10</f>
        <v/>
      </c>
      <c r="O4" s="60">
        <f>Assumptions!$C$5+11</f>
        <v/>
      </c>
      <c r="P4" s="60">
        <f>Assumptions!$C$5+12</f>
        <v/>
      </c>
      <c r="Q4" s="60">
        <f>Assumptions!$C$5+13</f>
        <v/>
      </c>
      <c r="R4" s="60">
        <f>Assumptions!$C$5+14</f>
        <v/>
      </c>
    </row>
    <row r="6">
      <c r="B6" s="3" t="inlineStr">
        <is>
          <t>Beginning Balance</t>
        </is>
      </c>
      <c r="D6" s="40">
        <f>Assumptions!$C$53</f>
        <v/>
      </c>
      <c r="E6" s="28">
        <f>IF(AND(Assumptions!$C$83=1,2=Assumptions!$C$84),Assumptions!$C$89,D9)</f>
        <v/>
      </c>
      <c r="F6" s="28">
        <f>IF(AND(Assumptions!$C$83=1,3=Assumptions!$C$84),Assumptions!$C$89,E9)</f>
        <v/>
      </c>
      <c r="G6" s="28">
        <f>IF(AND(Assumptions!$C$83=1,4=Assumptions!$C$84),Assumptions!$C$89,F9)</f>
        <v/>
      </c>
      <c r="H6" s="28">
        <f>IF(AND(Assumptions!$C$83=1,5=Assumptions!$C$84),Assumptions!$C$89,G9)</f>
        <v/>
      </c>
      <c r="I6" s="28">
        <f>IF(AND(Assumptions!$C$83=1,6=Assumptions!$C$84),Assumptions!$C$89,H9)</f>
        <v/>
      </c>
      <c r="J6" s="28">
        <f>IF(AND(Assumptions!$C$83=1,7=Assumptions!$C$84),Assumptions!$C$89,I9)</f>
        <v/>
      </c>
      <c r="K6" s="28">
        <f>IF(AND(Assumptions!$C$83=1,8=Assumptions!$C$84),Assumptions!$C$89,J9)</f>
        <v/>
      </c>
      <c r="L6" s="28">
        <f>IF(AND(Assumptions!$C$83=1,9=Assumptions!$C$84),Assumptions!$C$89,K9)</f>
        <v/>
      </c>
      <c r="M6" s="28">
        <f>IF(AND(Assumptions!$C$83=1,10=Assumptions!$C$84),Assumptions!$C$89,L9)</f>
        <v/>
      </c>
      <c r="N6" s="28">
        <f>IF(AND(Assumptions!$C$83=1,11=Assumptions!$C$84),Assumptions!$C$89,M9)</f>
        <v/>
      </c>
      <c r="O6" s="28">
        <f>IF(AND(Assumptions!$C$83=1,12=Assumptions!$C$84),Assumptions!$C$89,N9)</f>
        <v/>
      </c>
      <c r="P6" s="28">
        <f>IF(AND(Assumptions!$C$83=1,13=Assumptions!$C$84),Assumptions!$C$89,O9)</f>
        <v/>
      </c>
      <c r="Q6" s="28">
        <f>IF(AND(Assumptions!$C$83=1,14=Assumptions!$C$84),Assumptions!$C$89,P9)</f>
        <v/>
      </c>
      <c r="R6" s="28">
        <f>IF(AND(Assumptions!$C$83=1,15=Assumptions!$C$84),Assumptions!$C$89,Q9)</f>
        <v/>
      </c>
    </row>
    <row r="7">
      <c r="B7" s="3" t="inlineStr">
        <is>
          <t>Interest Payment</t>
        </is>
      </c>
      <c r="D7" s="40">
        <f>D6*IF(AND(Assumptions!$C$83=1,1&gt;=Assumptions!$C$84),Assumptions!$C$86,Assumptions!$C$49)</f>
        <v/>
      </c>
      <c r="E7" s="28">
        <f>E6*IF(AND(Assumptions!$C$83=1,2&gt;=Assumptions!$C$84),Assumptions!$C$86,Assumptions!$C$49)</f>
        <v/>
      </c>
      <c r="F7" s="28">
        <f>F6*IF(AND(Assumptions!$C$83=1,3&gt;=Assumptions!$C$84),Assumptions!$C$86,Assumptions!$C$49)</f>
        <v/>
      </c>
      <c r="G7" s="28">
        <f>G6*IF(AND(Assumptions!$C$83=1,4&gt;=Assumptions!$C$84),Assumptions!$C$86,Assumptions!$C$49)</f>
        <v/>
      </c>
      <c r="H7" s="28">
        <f>H6*IF(AND(Assumptions!$C$83=1,5&gt;=Assumptions!$C$84),Assumptions!$C$86,Assumptions!$C$49)</f>
        <v/>
      </c>
      <c r="I7" s="28">
        <f>I6*IF(AND(Assumptions!$C$83=1,6&gt;=Assumptions!$C$84),Assumptions!$C$86,Assumptions!$C$49)</f>
        <v/>
      </c>
      <c r="J7" s="28">
        <f>J6*IF(AND(Assumptions!$C$83=1,7&gt;=Assumptions!$C$84),Assumptions!$C$86,Assumptions!$C$49)</f>
        <v/>
      </c>
      <c r="K7" s="28">
        <f>K6*IF(AND(Assumptions!$C$83=1,8&gt;=Assumptions!$C$84),Assumptions!$C$86,Assumptions!$C$49)</f>
        <v/>
      </c>
      <c r="L7" s="28">
        <f>L6*IF(AND(Assumptions!$C$83=1,9&gt;=Assumptions!$C$84),Assumptions!$C$86,Assumptions!$C$49)</f>
        <v/>
      </c>
      <c r="M7" s="28">
        <f>M6*IF(AND(Assumptions!$C$83=1,10&gt;=Assumptions!$C$84),Assumptions!$C$86,Assumptions!$C$49)</f>
        <v/>
      </c>
      <c r="N7" s="28">
        <f>N6*IF(AND(Assumptions!$C$83=1,11&gt;=Assumptions!$C$84),Assumptions!$C$86,Assumptions!$C$49)</f>
        <v/>
      </c>
      <c r="O7" s="28">
        <f>O6*IF(AND(Assumptions!$C$83=1,12&gt;=Assumptions!$C$84),Assumptions!$C$86,Assumptions!$C$49)</f>
        <v/>
      </c>
      <c r="P7" s="28">
        <f>P6*IF(AND(Assumptions!$C$83=1,13&gt;=Assumptions!$C$84),Assumptions!$C$86,Assumptions!$C$49)</f>
        <v/>
      </c>
      <c r="Q7" s="28">
        <f>Q6*IF(AND(Assumptions!$C$83=1,14&gt;=Assumptions!$C$84),Assumptions!$C$86,Assumptions!$C$49)</f>
        <v/>
      </c>
      <c r="R7" s="28">
        <f>R6*IF(AND(Assumptions!$C$83=1,15&gt;=Assumptions!$C$84),Assumptions!$C$86,Assumptions!$C$49)</f>
        <v/>
      </c>
    </row>
    <row r="8">
      <c r="B8" s="3" t="inlineStr">
        <is>
          <t>Principal Payment</t>
        </is>
      </c>
      <c r="D8" s="40">
        <f>IF(1&lt;=Assumptions!$C$51,0,IFERROR(IF(AND(Assumptions!$C$83=1,1&gt;=Assumptions!$C$84),Assumptions!$C$90,Assumptions!$C$58)-D7,0))</f>
        <v/>
      </c>
      <c r="E8" s="28">
        <f>IF(2&lt;=Assumptions!$C$51,0,IFERROR(IF(AND(Assumptions!$C$83=1,2&gt;=Assumptions!$C$84),Assumptions!$C$90,Assumptions!$C$58)-E7,0))</f>
        <v/>
      </c>
      <c r="F8" s="28">
        <f>IF(3&lt;=Assumptions!$C$51,0,IFERROR(IF(AND(Assumptions!$C$83=1,3&gt;=Assumptions!$C$84),Assumptions!$C$90,Assumptions!$C$58)-F7,0))</f>
        <v/>
      </c>
      <c r="G8" s="28">
        <f>IF(4&lt;=Assumptions!$C$51,0,IFERROR(IF(AND(Assumptions!$C$83=1,4&gt;=Assumptions!$C$84),Assumptions!$C$90,Assumptions!$C$58)-G7,0))</f>
        <v/>
      </c>
      <c r="H8" s="28">
        <f>IF(5&lt;=Assumptions!$C$51,0,IFERROR(IF(AND(Assumptions!$C$83=1,5&gt;=Assumptions!$C$84),Assumptions!$C$90,Assumptions!$C$58)-H7,0))</f>
        <v/>
      </c>
      <c r="I8" s="28">
        <f>IF(6&lt;=Assumptions!$C$51,0,IFERROR(IF(AND(Assumptions!$C$83=1,6&gt;=Assumptions!$C$84),Assumptions!$C$90,Assumptions!$C$58)-I7,0))</f>
        <v/>
      </c>
      <c r="J8" s="28">
        <f>IF(7&lt;=Assumptions!$C$51,0,IFERROR(IF(AND(Assumptions!$C$83=1,7&gt;=Assumptions!$C$84),Assumptions!$C$90,Assumptions!$C$58)-J7,0))</f>
        <v/>
      </c>
      <c r="K8" s="28">
        <f>IF(8&lt;=Assumptions!$C$51,0,IFERROR(IF(AND(Assumptions!$C$83=1,8&gt;=Assumptions!$C$84),Assumptions!$C$90,Assumptions!$C$58)-K7,0))</f>
        <v/>
      </c>
      <c r="L8" s="28">
        <f>IF(9&lt;=Assumptions!$C$51,0,IFERROR(IF(AND(Assumptions!$C$83=1,9&gt;=Assumptions!$C$84),Assumptions!$C$90,Assumptions!$C$58)-L7,0))</f>
        <v/>
      </c>
      <c r="M8" s="28">
        <f>IF(10&lt;=Assumptions!$C$51,0,IFERROR(IF(AND(Assumptions!$C$83=1,10&gt;=Assumptions!$C$84),Assumptions!$C$90,Assumptions!$C$58)-M7,0))</f>
        <v/>
      </c>
      <c r="N8" s="28">
        <f>IF(11&lt;=Assumptions!$C$51,0,IFERROR(IF(AND(Assumptions!$C$83=1,11&gt;=Assumptions!$C$84),Assumptions!$C$90,Assumptions!$C$58)-N7,0))</f>
        <v/>
      </c>
      <c r="O8" s="28">
        <f>IF(12&lt;=Assumptions!$C$51,0,IFERROR(IF(AND(Assumptions!$C$83=1,12&gt;=Assumptions!$C$84),Assumptions!$C$90,Assumptions!$C$58)-O7,0))</f>
        <v/>
      </c>
      <c r="P8" s="28">
        <f>IF(13&lt;=Assumptions!$C$51,0,IFERROR(IF(AND(Assumptions!$C$83=1,13&gt;=Assumptions!$C$84),Assumptions!$C$90,Assumptions!$C$58)-P7,0))</f>
        <v/>
      </c>
      <c r="Q8" s="28">
        <f>IF(14&lt;=Assumptions!$C$51,0,IFERROR(IF(AND(Assumptions!$C$83=1,14&gt;=Assumptions!$C$84),Assumptions!$C$90,Assumptions!$C$58)-Q7,0))</f>
        <v/>
      </c>
      <c r="R8" s="28">
        <f>IF(15&lt;=Assumptions!$C$51,0,IFERROR(IF(AND(Assumptions!$C$83=1,15&gt;=Assumptions!$C$84),Assumptions!$C$90,Assumptions!$C$58)-R7,0))</f>
        <v/>
      </c>
    </row>
    <row r="9">
      <c r="B9" s="22" t="inlineStr">
        <is>
          <t>Ending Balance</t>
        </is>
      </c>
      <c r="D9" s="57">
        <f>D6-D8</f>
        <v/>
      </c>
      <c r="E9" s="58">
        <f>E6-E8</f>
        <v/>
      </c>
      <c r="F9" s="58">
        <f>F6-F8</f>
        <v/>
      </c>
      <c r="G9" s="58">
        <f>G6-G8</f>
        <v/>
      </c>
      <c r="H9" s="58">
        <f>H6-H8</f>
        <v/>
      </c>
      <c r="I9" s="58">
        <f>I6-I8</f>
        <v/>
      </c>
      <c r="J9" s="58">
        <f>J6-J8</f>
        <v/>
      </c>
      <c r="K9" s="58">
        <f>K6-K8</f>
        <v/>
      </c>
      <c r="L9" s="58">
        <f>L6-L8</f>
        <v/>
      </c>
      <c r="M9" s="58">
        <f>M6-M8</f>
        <v/>
      </c>
      <c r="N9" s="58">
        <f>N6-N8</f>
        <v/>
      </c>
      <c r="O9" s="58">
        <f>O6-O8</f>
        <v/>
      </c>
      <c r="P9" s="58">
        <f>P6-P8</f>
        <v/>
      </c>
      <c r="Q9" s="58">
        <f>Q6-Q8</f>
        <v/>
      </c>
      <c r="R9" s="58">
        <f>R6-R8</f>
        <v/>
      </c>
    </row>
    <row r="11">
      <c r="B11" s="22" t="inlineStr">
        <is>
          <t>Total Debt Service</t>
        </is>
      </c>
      <c r="D11" s="57">
        <f>D7+D8</f>
        <v/>
      </c>
      <c r="E11" s="58">
        <f>E7+E8</f>
        <v/>
      </c>
      <c r="F11" s="58">
        <f>F7+F8</f>
        <v/>
      </c>
      <c r="G11" s="58">
        <f>G7+G8</f>
        <v/>
      </c>
      <c r="H11" s="58">
        <f>H7+H8</f>
        <v/>
      </c>
      <c r="I11" s="58">
        <f>I7+I8</f>
        <v/>
      </c>
      <c r="J11" s="58">
        <f>J7+J8</f>
        <v/>
      </c>
      <c r="K11" s="58">
        <f>K7+K8</f>
        <v/>
      </c>
      <c r="L11" s="58">
        <f>L7+L8</f>
        <v/>
      </c>
      <c r="M11" s="58">
        <f>M7+M8</f>
        <v/>
      </c>
      <c r="N11" s="58">
        <f>N7+N8</f>
        <v/>
      </c>
      <c r="O11" s="58">
        <f>O7+O8</f>
        <v/>
      </c>
      <c r="P11" s="58">
        <f>P7+P8</f>
        <v/>
      </c>
      <c r="Q11" s="58">
        <f>Q7+Q8</f>
        <v/>
      </c>
      <c r="R11" s="58">
        <f>R7+R8</f>
        <v/>
      </c>
    </row>
    <row r="13">
      <c r="B13" s="3" t="inlineStr">
        <is>
          <t>DSCR (NOI / Debt Service)</t>
        </is>
      </c>
      <c r="D13" s="72">
        <f>IFERROR('Cash Flow'!D21/D11,"N/A")</f>
        <v/>
      </c>
      <c r="E13" s="72">
        <f>IFERROR('Cash Flow'!E21/E11,"N/A")</f>
        <v/>
      </c>
      <c r="F13" s="72">
        <f>IFERROR('Cash Flow'!F21/F11,"N/A")</f>
        <v/>
      </c>
      <c r="G13" s="72">
        <f>IFERROR('Cash Flow'!G21/G11,"N/A")</f>
        <v/>
      </c>
      <c r="H13" s="72">
        <f>IFERROR('Cash Flow'!H21/H11,"N/A")</f>
        <v/>
      </c>
      <c r="I13" s="72">
        <f>IFERROR('Cash Flow'!I21/I11,"N/A")</f>
        <v/>
      </c>
      <c r="J13" s="72">
        <f>IFERROR('Cash Flow'!J21/J11,"N/A")</f>
        <v/>
      </c>
      <c r="K13" s="72">
        <f>IFERROR('Cash Flow'!K21/K11,"N/A")</f>
        <v/>
      </c>
      <c r="L13" s="72">
        <f>IFERROR('Cash Flow'!L21/L11,"N/A")</f>
        <v/>
      </c>
      <c r="M13" s="72">
        <f>IFERROR('Cash Flow'!M21/M11,"N/A")</f>
        <v/>
      </c>
      <c r="N13" s="72">
        <f>IFERROR('Cash Flow'!N21/N11,"N/A")</f>
        <v/>
      </c>
      <c r="O13" s="72">
        <f>IFERROR('Cash Flow'!O21/O11,"N/A")</f>
        <v/>
      </c>
      <c r="P13" s="72">
        <f>IFERROR('Cash Flow'!P21/P11,"N/A")</f>
        <v/>
      </c>
      <c r="Q13" s="72">
        <f>IFERROR('Cash Flow'!Q21/Q11,"N/A")</f>
        <v/>
      </c>
      <c r="R13" s="72">
        <f>IFERROR('Cash Flow'!R21/R11,"N/A")</f>
        <v/>
      </c>
    </row>
    <row r="14">
      <c r="B14" s="3" t="inlineStr">
        <is>
          <t>Debt Yield (NOI / Balance)</t>
        </is>
      </c>
      <c r="D14" s="59">
        <f>IFERROR('Cash Flow'!D21/D9,"N/A")</f>
        <v/>
      </c>
      <c r="E14" s="59">
        <f>IFERROR('Cash Flow'!E21/E9,"N/A")</f>
        <v/>
      </c>
      <c r="F14" s="59">
        <f>IFERROR('Cash Flow'!F21/F9,"N/A")</f>
        <v/>
      </c>
      <c r="G14" s="59">
        <f>IFERROR('Cash Flow'!G21/G9,"N/A")</f>
        <v/>
      </c>
      <c r="H14" s="59">
        <f>IFERROR('Cash Flow'!H21/H9,"N/A")</f>
        <v/>
      </c>
      <c r="I14" s="59">
        <f>IFERROR('Cash Flow'!I21/I9,"N/A")</f>
        <v/>
      </c>
      <c r="J14" s="59">
        <f>IFERROR('Cash Flow'!J21/J9,"N/A")</f>
        <v/>
      </c>
      <c r="K14" s="59">
        <f>IFERROR('Cash Flow'!K21/K9,"N/A")</f>
        <v/>
      </c>
      <c r="L14" s="59">
        <f>IFERROR('Cash Flow'!L21/L9,"N/A")</f>
        <v/>
      </c>
      <c r="M14" s="59">
        <f>IFERROR('Cash Flow'!M21/M9,"N/A")</f>
        <v/>
      </c>
      <c r="N14" s="59">
        <f>IFERROR('Cash Flow'!N21/N9,"N/A")</f>
        <v/>
      </c>
      <c r="O14" s="59">
        <f>IFERROR('Cash Flow'!O21/O9,"N/A")</f>
        <v/>
      </c>
      <c r="P14" s="59">
        <f>IFERROR('Cash Flow'!P21/P9,"N/A")</f>
        <v/>
      </c>
      <c r="Q14" s="59">
        <f>IFERROR('Cash Flow'!Q21/Q9,"N/A")</f>
        <v/>
      </c>
      <c r="R14" s="59">
        <f>IFERROR('Cash Flow'!R21/R9,"N/A")</f>
        <v/>
      </c>
    </row>
  </sheetData>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R23"/>
  <sheetViews>
    <sheetView showGridLines="0" workbookViewId="0">
      <pane xSplit="3" ySplit="3" topLeftCell="D4" activePane="bottomRight" state="frozen"/>
      <selection pane="topRight"/>
      <selection pane="bottomLeft"/>
      <selection pane="bottomRight" activeCell="A1" sqref="A1"/>
    </sheetView>
  </sheetViews>
  <sheetFormatPr baseColWidth="8" defaultRowHeight="15"/>
  <cols>
    <col width="38" customWidth="1" min="2" max="2"/>
    <col width="15"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 width="12" customWidth="1" min="18" max="18"/>
  </cols>
  <sheetData>
    <row r="1">
      <c r="B1" s="1" t="inlineStr">
        <is>
          <t>Investment Returns — LIVE to Hold Period (levered-led)</t>
        </is>
      </c>
    </row>
    <row r="2">
      <c r="B2" s="2" t="inlineStr">
        <is>
          <t>Change Hold Period on Assumptions and every figure here recalcs.</t>
        </is>
      </c>
    </row>
    <row r="3">
      <c r="B3" s="22" t="inlineStr">
        <is>
          <t>Period</t>
        </is>
      </c>
      <c r="C3" s="73" t="inlineStr">
        <is>
          <t>Yr 0</t>
        </is>
      </c>
      <c r="D3" s="73" t="inlineStr">
        <is>
          <t>Yr 1</t>
        </is>
      </c>
      <c r="E3" s="73" t="inlineStr">
        <is>
          <t>Yr 2</t>
        </is>
      </c>
      <c r="F3" s="73" t="inlineStr">
        <is>
          <t>Yr 3</t>
        </is>
      </c>
      <c r="G3" s="73" t="inlineStr">
        <is>
          <t>Yr 4</t>
        </is>
      </c>
      <c r="H3" s="73" t="inlineStr">
        <is>
          <t>Yr 5</t>
        </is>
      </c>
      <c r="I3" s="73" t="inlineStr">
        <is>
          <t>Yr 6</t>
        </is>
      </c>
      <c r="J3" s="73" t="inlineStr">
        <is>
          <t>Yr 7</t>
        </is>
      </c>
      <c r="K3" s="73" t="inlineStr">
        <is>
          <t>Yr 8</t>
        </is>
      </c>
      <c r="L3" s="73" t="inlineStr">
        <is>
          <t>Yr 9</t>
        </is>
      </c>
      <c r="M3" s="73" t="inlineStr">
        <is>
          <t>Yr 10</t>
        </is>
      </c>
      <c r="N3" s="73" t="inlineStr">
        <is>
          <t>Yr 11</t>
        </is>
      </c>
      <c r="O3" s="73" t="inlineStr">
        <is>
          <t>Yr 12</t>
        </is>
      </c>
      <c r="P3" s="73" t="inlineStr">
        <is>
          <t>Yr 13</t>
        </is>
      </c>
      <c r="Q3" s="73" t="inlineStr">
        <is>
          <t>Yr 14</t>
        </is>
      </c>
      <c r="R3" s="73" t="inlineStr">
        <is>
          <t>Yr 15</t>
        </is>
      </c>
    </row>
    <row r="5">
      <c r="B5" s="3" t="inlineStr">
        <is>
          <t>Unlevered Cash Flows</t>
        </is>
      </c>
      <c r="C5" s="40">
        <f>-Assumptions!$C$12</f>
        <v/>
      </c>
      <c r="D5" s="65">
        <f>'Cash Flow'!D49</f>
        <v/>
      </c>
      <c r="E5" s="66">
        <f>'Cash Flow'!E49</f>
        <v/>
      </c>
      <c r="F5" s="66">
        <f>'Cash Flow'!F49</f>
        <v/>
      </c>
      <c r="G5" s="66">
        <f>'Cash Flow'!G49</f>
        <v/>
      </c>
      <c r="H5" s="66">
        <f>'Cash Flow'!H49</f>
        <v/>
      </c>
      <c r="I5" s="66">
        <f>'Cash Flow'!I49</f>
        <v/>
      </c>
      <c r="J5" s="66">
        <f>'Cash Flow'!J49</f>
        <v/>
      </c>
      <c r="K5" s="66">
        <f>'Cash Flow'!K49</f>
        <v/>
      </c>
      <c r="L5" s="66">
        <f>'Cash Flow'!L49</f>
        <v/>
      </c>
      <c r="M5" s="66">
        <f>'Cash Flow'!M49</f>
        <v/>
      </c>
      <c r="N5" s="66">
        <f>'Cash Flow'!N49</f>
        <v/>
      </c>
      <c r="O5" s="66">
        <f>'Cash Flow'!O49</f>
        <v/>
      </c>
      <c r="P5" s="66">
        <f>'Cash Flow'!P49</f>
        <v/>
      </c>
      <c r="Q5" s="66">
        <f>'Cash Flow'!Q49</f>
        <v/>
      </c>
      <c r="R5" s="66">
        <f>'Cash Flow'!R49</f>
        <v/>
      </c>
    </row>
    <row r="6">
      <c r="B6" s="3" t="inlineStr">
        <is>
          <t>Levered Cash Flows</t>
        </is>
      </c>
      <c r="C6" s="40">
        <f>-Assumptions!$C$56</f>
        <v/>
      </c>
      <c r="D6" s="65">
        <f>'Cash Flow'!D50</f>
        <v/>
      </c>
      <c r="E6" s="66">
        <f>'Cash Flow'!E50</f>
        <v/>
      </c>
      <c r="F6" s="66">
        <f>'Cash Flow'!F50</f>
        <v/>
      </c>
      <c r="G6" s="66">
        <f>'Cash Flow'!G50</f>
        <v/>
      </c>
      <c r="H6" s="66">
        <f>'Cash Flow'!H50</f>
        <v/>
      </c>
      <c r="I6" s="66">
        <f>'Cash Flow'!I50</f>
        <v/>
      </c>
      <c r="J6" s="66">
        <f>'Cash Flow'!J50</f>
        <v/>
      </c>
      <c r="K6" s="66">
        <f>'Cash Flow'!K50</f>
        <v/>
      </c>
      <c r="L6" s="66">
        <f>'Cash Flow'!L50</f>
        <v/>
      </c>
      <c r="M6" s="66">
        <f>'Cash Flow'!M50</f>
        <v/>
      </c>
      <c r="N6" s="66">
        <f>'Cash Flow'!N50</f>
        <v/>
      </c>
      <c r="O6" s="66">
        <f>'Cash Flow'!O50</f>
        <v/>
      </c>
      <c r="P6" s="66">
        <f>'Cash Flow'!P50</f>
        <v/>
      </c>
      <c r="Q6" s="66">
        <f>'Cash Flow'!Q50</f>
        <v/>
      </c>
      <c r="R6" s="66">
        <f>'Cash Flow'!R50</f>
        <v/>
      </c>
    </row>
    <row r="8">
      <c r="B8" s="11" t="inlineStr">
        <is>
          <t>LEVERED RETURNS</t>
        </is>
      </c>
      <c r="C8" s="12" t="inlineStr"/>
    </row>
    <row r="9">
      <c r="B9" s="22" t="inlineStr">
        <is>
          <t>Levered IRR</t>
        </is>
      </c>
      <c r="C9" s="74">
        <f>IRR(OFFSET($C$6,0,0,1,Assumptions!$C$6+1))</f>
        <v/>
      </c>
    </row>
    <row r="10">
      <c r="B10" s="3" t="inlineStr">
        <is>
          <t>Levered Equity Multiple</t>
        </is>
      </c>
      <c r="C10" s="33">
        <f>SUM(OFFSET($D$6,0,0,1,Assumptions!$C$6))/(-C6)</f>
        <v/>
      </c>
    </row>
    <row r="11">
      <c r="B11" s="3" t="inlineStr">
        <is>
          <t>Total Profit (Levered)</t>
        </is>
      </c>
      <c r="C11" s="40">
        <f>SUM(OFFSET($C$6,0,0,1,Assumptions!$C$6+1))</f>
        <v/>
      </c>
    </row>
    <row r="12">
      <c r="B12" s="3" t="inlineStr">
        <is>
          <t>Year 1 Cash-on-Cash</t>
        </is>
      </c>
      <c r="C12" s="32">
        <f>'Cash Flow'!D37/(-C6)</f>
        <v/>
      </c>
    </row>
    <row r="13">
      <c r="B13" s="3" t="inlineStr">
        <is>
          <t>Avg Cash-on-Cash (over hold)</t>
        </is>
      </c>
      <c r="C13" s="32">
        <f>AVERAGE(OFFSET('Cash Flow'!$D$37,0,0,1,Assumptions!$C$6))/(-C6)</f>
        <v/>
      </c>
    </row>
    <row r="15">
      <c r="B15" s="11" t="inlineStr">
        <is>
          <t>UNLEVERED (reference)</t>
        </is>
      </c>
      <c r="C15" s="12" t="inlineStr"/>
    </row>
    <row r="16">
      <c r="B16" s="3" t="inlineStr">
        <is>
          <t>Unlevered IRR</t>
        </is>
      </c>
      <c r="C16" s="32">
        <f>IRR(OFFSET($C$5,0,0,1,Assumptions!$C$6+1))</f>
        <v/>
      </c>
    </row>
    <row r="17">
      <c r="B17" s="3" t="inlineStr">
        <is>
          <t>Unlevered Equity Multiple</t>
        </is>
      </c>
      <c r="C17" s="33">
        <f>SUM(OFFSET($D$5,0,0,1,Assumptions!$C$6))/(-C5)</f>
        <v/>
      </c>
    </row>
    <row r="19">
      <c r="B19" s="11" t="inlineStr">
        <is>
          <t>CASH-ON-CASH &amp; DSCR BY YEAR (levered)</t>
        </is>
      </c>
      <c r="D19" s="12" t="inlineStr"/>
      <c r="E19" s="12" t="inlineStr"/>
      <c r="F19" s="12" t="inlineStr"/>
      <c r="G19" s="12" t="inlineStr"/>
      <c r="H19" s="12" t="inlineStr"/>
      <c r="I19" s="12" t="inlineStr"/>
      <c r="J19" s="12" t="inlineStr"/>
      <c r="K19" s="12" t="inlineStr"/>
      <c r="L19" s="12" t="inlineStr"/>
      <c r="M19" s="12" t="inlineStr"/>
      <c r="N19" s="12" t="inlineStr"/>
      <c r="O19" s="12" t="inlineStr"/>
      <c r="P19" s="12" t="inlineStr"/>
      <c r="Q19" s="12" t="inlineStr"/>
      <c r="R19" s="12" t="inlineStr"/>
    </row>
    <row r="20">
      <c r="B20" s="22" t="inlineStr">
        <is>
          <t>Year</t>
        </is>
      </c>
      <c r="D20" s="60">
        <f>IF(1&lt;=Assumptions!$C$6,1,"")</f>
        <v/>
      </c>
      <c r="E20" s="60">
        <f>IF(2&lt;=Assumptions!$C$6,2,"")</f>
        <v/>
      </c>
      <c r="F20" s="60">
        <f>IF(3&lt;=Assumptions!$C$6,3,"")</f>
        <v/>
      </c>
      <c r="G20" s="60">
        <f>IF(4&lt;=Assumptions!$C$6,4,"")</f>
        <v/>
      </c>
      <c r="H20" s="60">
        <f>IF(5&lt;=Assumptions!$C$6,5,"")</f>
        <v/>
      </c>
      <c r="I20" s="60">
        <f>IF(6&lt;=Assumptions!$C$6,6,"")</f>
        <v/>
      </c>
      <c r="J20" s="60">
        <f>IF(7&lt;=Assumptions!$C$6,7,"")</f>
        <v/>
      </c>
      <c r="K20" s="60">
        <f>IF(8&lt;=Assumptions!$C$6,8,"")</f>
        <v/>
      </c>
      <c r="L20" s="60">
        <f>IF(9&lt;=Assumptions!$C$6,9,"")</f>
        <v/>
      </c>
      <c r="M20" s="60">
        <f>IF(10&lt;=Assumptions!$C$6,10,"")</f>
        <v/>
      </c>
      <c r="N20" s="60">
        <f>IF(11&lt;=Assumptions!$C$6,11,"")</f>
        <v/>
      </c>
      <c r="O20" s="60">
        <f>IF(12&lt;=Assumptions!$C$6,12,"")</f>
        <v/>
      </c>
      <c r="P20" s="60">
        <f>IF(13&lt;=Assumptions!$C$6,13,"")</f>
        <v/>
      </c>
      <c r="Q20" s="60">
        <f>IF(14&lt;=Assumptions!$C$6,14,"")</f>
        <v/>
      </c>
      <c r="R20" s="60">
        <f>IF(15&lt;=Assumptions!$C$6,15,"")</f>
        <v/>
      </c>
    </row>
    <row r="21">
      <c r="B21" s="3" t="inlineStr">
        <is>
          <t>Cash-on-Cash</t>
        </is>
      </c>
      <c r="D21" s="59">
        <f>IF(1&lt;=Assumptions!$C$6,'Cash Flow'!D37/(-$C$6),"")</f>
        <v/>
      </c>
      <c r="E21" s="59">
        <f>IF(2&lt;=Assumptions!$C$6,'Cash Flow'!E37/(-$C$6),"")</f>
        <v/>
      </c>
      <c r="F21" s="59">
        <f>IF(3&lt;=Assumptions!$C$6,'Cash Flow'!F37/(-$C$6),"")</f>
        <v/>
      </c>
      <c r="G21" s="59">
        <f>IF(4&lt;=Assumptions!$C$6,'Cash Flow'!G37/(-$C$6),"")</f>
        <v/>
      </c>
      <c r="H21" s="59">
        <f>IF(5&lt;=Assumptions!$C$6,'Cash Flow'!H37/(-$C$6),"")</f>
        <v/>
      </c>
      <c r="I21" s="59">
        <f>IF(6&lt;=Assumptions!$C$6,'Cash Flow'!I37/(-$C$6),"")</f>
        <v/>
      </c>
      <c r="J21" s="59">
        <f>IF(7&lt;=Assumptions!$C$6,'Cash Flow'!J37/(-$C$6),"")</f>
        <v/>
      </c>
      <c r="K21" s="59">
        <f>IF(8&lt;=Assumptions!$C$6,'Cash Flow'!K37/(-$C$6),"")</f>
        <v/>
      </c>
      <c r="L21" s="59">
        <f>IF(9&lt;=Assumptions!$C$6,'Cash Flow'!L37/(-$C$6),"")</f>
        <v/>
      </c>
      <c r="M21" s="59">
        <f>IF(10&lt;=Assumptions!$C$6,'Cash Flow'!M37/(-$C$6),"")</f>
        <v/>
      </c>
      <c r="N21" s="59">
        <f>IF(11&lt;=Assumptions!$C$6,'Cash Flow'!N37/(-$C$6),"")</f>
        <v/>
      </c>
      <c r="O21" s="59">
        <f>IF(12&lt;=Assumptions!$C$6,'Cash Flow'!O37/(-$C$6),"")</f>
        <v/>
      </c>
      <c r="P21" s="59">
        <f>IF(13&lt;=Assumptions!$C$6,'Cash Flow'!P37/(-$C$6),"")</f>
        <v/>
      </c>
      <c r="Q21" s="59">
        <f>IF(14&lt;=Assumptions!$C$6,'Cash Flow'!Q37/(-$C$6),"")</f>
        <v/>
      </c>
      <c r="R21" s="59">
        <f>IF(15&lt;=Assumptions!$C$6,'Cash Flow'!R37/(-$C$6),"")</f>
        <v/>
      </c>
    </row>
    <row r="23">
      <c r="B23" s="3" t="inlineStr">
        <is>
          <t>DSCR</t>
        </is>
      </c>
      <c r="D23" s="72">
        <f>IF(1&lt;=Assumptions!$C$6,IFERROR(Debt!D13,"N/A"),"")</f>
        <v/>
      </c>
      <c r="E23" s="72">
        <f>IF(2&lt;=Assumptions!$C$6,IFERROR(Debt!E13,"N/A"),"")</f>
        <v/>
      </c>
      <c r="F23" s="72">
        <f>IF(3&lt;=Assumptions!$C$6,IFERROR(Debt!F13,"N/A"),"")</f>
        <v/>
      </c>
      <c r="G23" s="72">
        <f>IF(4&lt;=Assumptions!$C$6,IFERROR(Debt!G13,"N/A"),"")</f>
        <v/>
      </c>
      <c r="H23" s="72">
        <f>IF(5&lt;=Assumptions!$C$6,IFERROR(Debt!H13,"N/A"),"")</f>
        <v/>
      </c>
      <c r="I23" s="72">
        <f>IF(6&lt;=Assumptions!$C$6,IFERROR(Debt!I13,"N/A"),"")</f>
        <v/>
      </c>
      <c r="J23" s="72">
        <f>IF(7&lt;=Assumptions!$C$6,IFERROR(Debt!J13,"N/A"),"")</f>
        <v/>
      </c>
      <c r="K23" s="72">
        <f>IF(8&lt;=Assumptions!$C$6,IFERROR(Debt!K13,"N/A"),"")</f>
        <v/>
      </c>
      <c r="L23" s="72">
        <f>IF(9&lt;=Assumptions!$C$6,IFERROR(Debt!L13,"N/A"),"")</f>
        <v/>
      </c>
      <c r="M23" s="72">
        <f>IF(10&lt;=Assumptions!$C$6,IFERROR(Debt!M13,"N/A"),"")</f>
        <v/>
      </c>
      <c r="N23" s="72">
        <f>IF(11&lt;=Assumptions!$C$6,IFERROR(Debt!N13,"N/A"),"")</f>
        <v/>
      </c>
      <c r="O23" s="72">
        <f>IF(12&lt;=Assumptions!$C$6,IFERROR(Debt!O13,"N/A"),"")</f>
        <v/>
      </c>
      <c r="P23" s="72">
        <f>IF(13&lt;=Assumptions!$C$6,IFERROR(Debt!P13,"N/A"),"")</f>
        <v/>
      </c>
      <c r="Q23" s="72">
        <f>IF(14&lt;=Assumptions!$C$6,IFERROR(Debt!Q13,"N/A"),"")</f>
        <v/>
      </c>
      <c r="R23" s="72">
        <f>IF(15&lt;=Assumptions!$C$6,IFERROR(Debt!R13,"N/A"),"")</f>
        <v/>
      </c>
    </row>
  </sheetData>
  <pageMargins left="0.3" right="0.3" top="0.45" bottom="0.45" header="0.2" footer="0.2"/>
  <pageSetup orientation="landscape" fitToHeight="1" fitToWidth="1"/>
  <headerFooter>
    <oddHeader/>
    <oddFooter>&amp;C&amp;8 &amp;A  —  Capistrano Real Estate Advisors  —  Page &amp;P of &amp;N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N31"/>
  <sheetViews>
    <sheetView showGridLines="0" workbookViewId="0">
      <pane xSplit="2" ySplit="4" topLeftCell="C5" activePane="bottomRight" state="frozen"/>
      <selection pane="topRight"/>
      <selection pane="bottomLeft"/>
      <selection pane="bottomRight" activeCell="A1" sqref="A1"/>
    </sheetView>
  </sheetViews>
  <sheetFormatPr baseColWidth="8" defaultRowHeight="15"/>
  <cols>
    <col width="14" customWidth="1" min="2" max="2"/>
    <col width="11" customWidth="1" min="3" max="3"/>
    <col width="11" customWidth="1" min="4" max="4"/>
    <col width="11" customWidth="1" min="5" max="5"/>
    <col width="11" customWidth="1" min="6" max="6"/>
    <col width="11" customWidth="1" min="7" max="7"/>
    <col width="11" customWidth="1" min="8" max="8"/>
    <col width="11" customWidth="1" min="9" max="9"/>
    <col hidden="1" width="13" customWidth="1" min="11" max="11"/>
    <col hidden="1" width="13" customWidth="1" min="12" max="12"/>
    <col hidden="1" width="13" customWidth="1" min="13" max="13"/>
    <col hidden="1" width="13" customWidth="1" min="14" max="14"/>
  </cols>
  <sheetData>
    <row r="1">
      <c r="B1" s="1" t="inlineStr">
        <is>
          <t>Sensitivity — Levered IRR (directional, live)</t>
        </is>
      </c>
    </row>
    <row r="2">
      <c r="N2" s="35" t="inlineStr">
        <is>
          <t>bias</t>
        </is>
      </c>
    </row>
    <row r="3">
      <c r="B3" s="11" t="inlineStr">
        <is>
          <t>Table 1: Levered IRR — Purchase Price × Exit Cap</t>
        </is>
      </c>
      <c r="K3" s="35" t="inlineStr">
        <is>
          <t>price</t>
        </is>
      </c>
      <c r="L3" s="35" t="inlineStr">
        <is>
          <t>proxy IRR</t>
        </is>
      </c>
      <c r="M3" s="35" t="inlineStr">
        <is>
          <t>calibrated IRR</t>
        </is>
      </c>
      <c r="N3" s="75">
        <f>IFERROR(Returns!C9-(((((SUM(OFFSET('Cash Flow'!$D$32,0,0,1,Assumptions!$C$6))-Assumptions!$C$6*((((Assumptions!$C$9)*Assumptions!$C$48))*(-PMT(Assumptions!$C$49/12,Assumptions!$C$50*12,1)*12))))+'Cash Flow'!$C$45-(((((Assumptions!$C$9)*Assumptions!$C$48))*IF(Assumptions!$C$53=0,0,(-'Cash Flow'!$C$46)/Assumptions!$C$53))))/((Assumptions!$C$9)*(1+Assumptions!$C$10)-(((Assumptions!$C$9)*Assumptions!$C$48))))^(1/Assumptions!$C$6)-1),0)</f>
        <v/>
      </c>
    </row>
    <row r="4">
      <c r="B4" s="22" t="inlineStr">
        <is>
          <t>PP ($) \ Exit Cap</t>
        </is>
      </c>
      <c r="C4" s="76" t="n">
        <v>0.0658</v>
      </c>
      <c r="D4" s="76" t="n">
        <v>0.0708</v>
      </c>
      <c r="E4" s="76" t="n">
        <v>0.0733</v>
      </c>
      <c r="F4" s="76" t="n">
        <v>0.07580000000000001</v>
      </c>
      <c r="G4" s="76" t="n">
        <v>0.07829999999999999</v>
      </c>
      <c r="H4" s="76" t="n">
        <v>0.0808</v>
      </c>
      <c r="I4" s="76" t="n">
        <v>0.0858</v>
      </c>
      <c r="K4" s="77" t="n">
        <v>5875000</v>
      </c>
      <c r="L4" s="75">
        <f>IFERROR(((((SUM(OFFSET('Cash Flow'!$D$32,0,0,1,Assumptions!$C$6))-Assumptions!$C$6*((((K4)*Assumptions!$C$48))*(-PMT(Assumptions!$C$49/12,Assumptions!$C$50*12,1)*12))))+'Cash Flow'!$C$45-(((((K4)*Assumptions!$C$48))*IF(Assumptions!$C$53=0,0,(-'Cash Flow'!$C$46)/Assumptions!$C$53))))/((K4)*(1+Assumptions!$C$10)-(((K4)*Assumptions!$C$48))))^(1/Assumptions!$C$6)-1,"")</f>
        <v/>
      </c>
      <c r="M4" s="75">
        <f>IFERROR(((((SUM(OFFSET('Cash Flow'!$D$32,0,0,1,Assumptions!$C$6))-Assumptions!$C$6*((((K4)*Assumptions!$C$48))*(-PMT(Assumptions!$C$49/12,Assumptions!$C$50*12,1)*12))))+'Cash Flow'!$C$45-(((((K4)*Assumptions!$C$48))*IF(Assumptions!$C$53=0,0,(-'Cash Flow'!$C$46)/Assumptions!$C$53))))/((K4)*(1+Assumptions!$C$10)-(((K4)*Assumptions!$C$48))))^(1/Assumptions!$C$6)-1+$N$3,"")</f>
        <v/>
      </c>
    </row>
    <row r="5">
      <c r="B5" s="42" t="n">
        <v>9990000</v>
      </c>
      <c r="C5" s="78">
        <f>((SUM(OFFSET('Cash Flow'!$D$37,0,0,1,Assumptions!$C$6))+(('Cash Flow'!$C$42/0.0658)*(1-Assumptions!$C$45)+'Cash Flow'!$C$46))/(9990000.0*(1+Assumptions!$C$10)-Assumptions!$C$53))^(1/Assumptions!$C$6)-1</f>
        <v/>
      </c>
      <c r="D5" s="78">
        <f>((SUM(OFFSET('Cash Flow'!$D$37,0,0,1,Assumptions!$C$6))+(('Cash Flow'!$C$42/0.0708)*(1-Assumptions!$C$45)+'Cash Flow'!$C$46))/(9990000.0*(1+Assumptions!$C$10)-Assumptions!$C$53))^(1/Assumptions!$C$6)-1</f>
        <v/>
      </c>
      <c r="E5" s="78">
        <f>((SUM(OFFSET('Cash Flow'!$D$37,0,0,1,Assumptions!$C$6))+(('Cash Flow'!$C$42/0.0733)*(1-Assumptions!$C$45)+'Cash Flow'!$C$46))/(9990000.0*(1+Assumptions!$C$10)-Assumptions!$C$53))^(1/Assumptions!$C$6)-1</f>
        <v/>
      </c>
      <c r="F5" s="78">
        <f>((SUM(OFFSET('Cash Flow'!$D$37,0,0,1,Assumptions!$C$6))+(('Cash Flow'!$C$42/0.0758)*(1-Assumptions!$C$45)+'Cash Flow'!$C$46))/(9990000.0*(1+Assumptions!$C$10)-Assumptions!$C$53))^(1/Assumptions!$C$6)-1</f>
        <v/>
      </c>
      <c r="G5" s="78">
        <f>((SUM(OFFSET('Cash Flow'!$D$37,0,0,1,Assumptions!$C$6))+(('Cash Flow'!$C$42/0.0783)*(1-Assumptions!$C$45)+'Cash Flow'!$C$46))/(9990000.0*(1+Assumptions!$C$10)-Assumptions!$C$53))^(1/Assumptions!$C$6)-1</f>
        <v/>
      </c>
      <c r="H5" s="78">
        <f>((SUM(OFFSET('Cash Flow'!$D$37,0,0,1,Assumptions!$C$6))+(('Cash Flow'!$C$42/0.0808)*(1-Assumptions!$C$45)+'Cash Flow'!$C$46))/(9990000.0*(1+Assumptions!$C$10)-Assumptions!$C$53))^(1/Assumptions!$C$6)-1</f>
        <v/>
      </c>
      <c r="I5" s="78">
        <f>((SUM(OFFSET('Cash Flow'!$D$37,0,0,1,Assumptions!$C$6))+(('Cash Flow'!$C$42/0.0858)*(1-Assumptions!$C$45)+'Cash Flow'!$C$46))/(9990000.0*(1+Assumptions!$C$10)-Assumptions!$C$53))^(1/Assumptions!$C$6)-1</f>
        <v/>
      </c>
      <c r="K5" s="77" t="n">
        <v>6291000</v>
      </c>
      <c r="L5" s="75">
        <f>IFERROR(((((SUM(OFFSET('Cash Flow'!$D$32,0,0,1,Assumptions!$C$6))-Assumptions!$C$6*((((K5)*Assumptions!$C$48))*(-PMT(Assumptions!$C$49/12,Assumptions!$C$50*12,1)*12))))+'Cash Flow'!$C$45-(((((K5)*Assumptions!$C$48))*IF(Assumptions!$C$53=0,0,(-'Cash Flow'!$C$46)/Assumptions!$C$53))))/((K5)*(1+Assumptions!$C$10)-(((K5)*Assumptions!$C$48))))^(1/Assumptions!$C$6)-1,"")</f>
        <v/>
      </c>
      <c r="M5" s="75">
        <f>IFERROR(((((SUM(OFFSET('Cash Flow'!$D$32,0,0,1,Assumptions!$C$6))-Assumptions!$C$6*((((K5)*Assumptions!$C$48))*(-PMT(Assumptions!$C$49/12,Assumptions!$C$50*12,1)*12))))+'Cash Flow'!$C$45-(((((K5)*Assumptions!$C$48))*IF(Assumptions!$C$53=0,0,(-'Cash Flow'!$C$46)/Assumptions!$C$53))))/((K5)*(1+Assumptions!$C$10)-(((K5)*Assumptions!$C$48))))^(1/Assumptions!$C$6)-1+$N$3,"")</f>
        <v/>
      </c>
    </row>
    <row r="6">
      <c r="B6" s="42" t="n">
        <v>10580000</v>
      </c>
      <c r="C6" s="78">
        <f>((SUM(OFFSET('Cash Flow'!$D$37,0,0,1,Assumptions!$C$6))+(('Cash Flow'!$C$42/0.0658)*(1-Assumptions!$C$45)+'Cash Flow'!$C$46))/(10580000.0*(1+Assumptions!$C$10)-Assumptions!$C$53))^(1/Assumptions!$C$6)-1</f>
        <v/>
      </c>
      <c r="D6" s="78">
        <f>((SUM(OFFSET('Cash Flow'!$D$37,0,0,1,Assumptions!$C$6))+(('Cash Flow'!$C$42/0.0708)*(1-Assumptions!$C$45)+'Cash Flow'!$C$46))/(10580000.0*(1+Assumptions!$C$10)-Assumptions!$C$53))^(1/Assumptions!$C$6)-1</f>
        <v/>
      </c>
      <c r="E6" s="78">
        <f>((SUM(OFFSET('Cash Flow'!$D$37,0,0,1,Assumptions!$C$6))+(('Cash Flow'!$C$42/0.0733)*(1-Assumptions!$C$45)+'Cash Flow'!$C$46))/(10580000.0*(1+Assumptions!$C$10)-Assumptions!$C$53))^(1/Assumptions!$C$6)-1</f>
        <v/>
      </c>
      <c r="F6" s="78">
        <f>((SUM(OFFSET('Cash Flow'!$D$37,0,0,1,Assumptions!$C$6))+(('Cash Flow'!$C$42/0.0758)*(1-Assumptions!$C$45)+'Cash Flow'!$C$46))/(10580000.0*(1+Assumptions!$C$10)-Assumptions!$C$53))^(1/Assumptions!$C$6)-1</f>
        <v/>
      </c>
      <c r="G6" s="78">
        <f>((SUM(OFFSET('Cash Flow'!$D$37,0,0,1,Assumptions!$C$6))+(('Cash Flow'!$C$42/0.0783)*(1-Assumptions!$C$45)+'Cash Flow'!$C$46))/(10580000.0*(1+Assumptions!$C$10)-Assumptions!$C$53))^(1/Assumptions!$C$6)-1</f>
        <v/>
      </c>
      <c r="H6" s="78">
        <f>((SUM(OFFSET('Cash Flow'!$D$37,0,0,1,Assumptions!$C$6))+(('Cash Flow'!$C$42/0.0808)*(1-Assumptions!$C$45)+'Cash Flow'!$C$46))/(10580000.0*(1+Assumptions!$C$10)-Assumptions!$C$53))^(1/Assumptions!$C$6)-1</f>
        <v/>
      </c>
      <c r="I6" s="78">
        <f>((SUM(OFFSET('Cash Flow'!$D$37,0,0,1,Assumptions!$C$6))+(('Cash Flow'!$C$42/0.0858)*(1-Assumptions!$C$45)+'Cash Flow'!$C$46))/(10580000.0*(1+Assumptions!$C$10)-Assumptions!$C$53))^(1/Assumptions!$C$6)-1</f>
        <v/>
      </c>
      <c r="K6" s="77" t="n">
        <v>6707000</v>
      </c>
      <c r="L6" s="75">
        <f>IFERROR(((((SUM(OFFSET('Cash Flow'!$D$32,0,0,1,Assumptions!$C$6))-Assumptions!$C$6*((((K6)*Assumptions!$C$48))*(-PMT(Assumptions!$C$49/12,Assumptions!$C$50*12,1)*12))))+'Cash Flow'!$C$45-(((((K6)*Assumptions!$C$48))*IF(Assumptions!$C$53=0,0,(-'Cash Flow'!$C$46)/Assumptions!$C$53))))/((K6)*(1+Assumptions!$C$10)-(((K6)*Assumptions!$C$48))))^(1/Assumptions!$C$6)-1,"")</f>
        <v/>
      </c>
      <c r="M6" s="75">
        <f>IFERROR(((((SUM(OFFSET('Cash Flow'!$D$32,0,0,1,Assumptions!$C$6))-Assumptions!$C$6*((((K6)*Assumptions!$C$48))*(-PMT(Assumptions!$C$49/12,Assumptions!$C$50*12,1)*12))))+'Cash Flow'!$C$45-(((((K6)*Assumptions!$C$48))*IF(Assumptions!$C$53=0,0,(-'Cash Flow'!$C$46)/Assumptions!$C$53))))/((K6)*(1+Assumptions!$C$10)-(((K6)*Assumptions!$C$48))))^(1/Assumptions!$C$6)-1+$N$3,"")</f>
        <v/>
      </c>
    </row>
    <row r="7">
      <c r="B7" s="42" t="n">
        <v>11160000</v>
      </c>
      <c r="C7" s="78">
        <f>((SUM(OFFSET('Cash Flow'!$D$37,0,0,1,Assumptions!$C$6))+(('Cash Flow'!$C$42/0.0658)*(1-Assumptions!$C$45)+'Cash Flow'!$C$46))/(11160000.0*(1+Assumptions!$C$10)-Assumptions!$C$53))^(1/Assumptions!$C$6)-1</f>
        <v/>
      </c>
      <c r="D7" s="78">
        <f>((SUM(OFFSET('Cash Flow'!$D$37,0,0,1,Assumptions!$C$6))+(('Cash Flow'!$C$42/0.0708)*(1-Assumptions!$C$45)+'Cash Flow'!$C$46))/(11160000.0*(1+Assumptions!$C$10)-Assumptions!$C$53))^(1/Assumptions!$C$6)-1</f>
        <v/>
      </c>
      <c r="E7" s="78">
        <f>((SUM(OFFSET('Cash Flow'!$D$37,0,0,1,Assumptions!$C$6))+(('Cash Flow'!$C$42/0.0733)*(1-Assumptions!$C$45)+'Cash Flow'!$C$46))/(11160000.0*(1+Assumptions!$C$10)-Assumptions!$C$53))^(1/Assumptions!$C$6)-1</f>
        <v/>
      </c>
      <c r="F7" s="78">
        <f>((SUM(OFFSET('Cash Flow'!$D$37,0,0,1,Assumptions!$C$6))+(('Cash Flow'!$C$42/0.0758)*(1-Assumptions!$C$45)+'Cash Flow'!$C$46))/(11160000.0*(1+Assumptions!$C$10)-Assumptions!$C$53))^(1/Assumptions!$C$6)-1</f>
        <v/>
      </c>
      <c r="G7" s="78">
        <f>((SUM(OFFSET('Cash Flow'!$D$37,0,0,1,Assumptions!$C$6))+(('Cash Flow'!$C$42/0.0783)*(1-Assumptions!$C$45)+'Cash Flow'!$C$46))/(11160000.0*(1+Assumptions!$C$10)-Assumptions!$C$53))^(1/Assumptions!$C$6)-1</f>
        <v/>
      </c>
      <c r="H7" s="78">
        <f>((SUM(OFFSET('Cash Flow'!$D$37,0,0,1,Assumptions!$C$6))+(('Cash Flow'!$C$42/0.0808)*(1-Assumptions!$C$45)+'Cash Flow'!$C$46))/(11160000.0*(1+Assumptions!$C$10)-Assumptions!$C$53))^(1/Assumptions!$C$6)-1</f>
        <v/>
      </c>
      <c r="I7" s="78">
        <f>((SUM(OFFSET('Cash Flow'!$D$37,0,0,1,Assumptions!$C$6))+(('Cash Flow'!$C$42/0.0858)*(1-Assumptions!$C$45)+'Cash Flow'!$C$46))/(11160000.0*(1+Assumptions!$C$10)-Assumptions!$C$53))^(1/Assumptions!$C$6)-1</f>
        <v/>
      </c>
      <c r="K7" s="77" t="n">
        <v>7123000</v>
      </c>
      <c r="L7" s="75">
        <f>IFERROR(((((SUM(OFFSET('Cash Flow'!$D$32,0,0,1,Assumptions!$C$6))-Assumptions!$C$6*((((K7)*Assumptions!$C$48))*(-PMT(Assumptions!$C$49/12,Assumptions!$C$50*12,1)*12))))+'Cash Flow'!$C$45-(((((K7)*Assumptions!$C$48))*IF(Assumptions!$C$53=0,0,(-'Cash Flow'!$C$46)/Assumptions!$C$53))))/((K7)*(1+Assumptions!$C$10)-(((K7)*Assumptions!$C$48))))^(1/Assumptions!$C$6)-1,"")</f>
        <v/>
      </c>
      <c r="M7" s="75">
        <f>IFERROR(((((SUM(OFFSET('Cash Flow'!$D$32,0,0,1,Assumptions!$C$6))-Assumptions!$C$6*((((K7)*Assumptions!$C$48))*(-PMT(Assumptions!$C$49/12,Assumptions!$C$50*12,1)*12))))+'Cash Flow'!$C$45-(((((K7)*Assumptions!$C$48))*IF(Assumptions!$C$53=0,0,(-'Cash Flow'!$C$46)/Assumptions!$C$53))))/((K7)*(1+Assumptions!$C$10)-(((K7)*Assumptions!$C$48))))^(1/Assumptions!$C$6)-1+$N$3,"")</f>
        <v/>
      </c>
    </row>
    <row r="8">
      <c r="B8" s="42" t="n">
        <v>11750000</v>
      </c>
      <c r="C8" s="78">
        <f>((SUM(OFFSET('Cash Flow'!$D$37,0,0,1,Assumptions!$C$6))+(('Cash Flow'!$C$42/0.0658)*(1-Assumptions!$C$45)+'Cash Flow'!$C$46))/(11750000.0*(1+Assumptions!$C$10)-Assumptions!$C$53))^(1/Assumptions!$C$6)-1</f>
        <v/>
      </c>
      <c r="D8" s="78">
        <f>((SUM(OFFSET('Cash Flow'!$D$37,0,0,1,Assumptions!$C$6))+(('Cash Flow'!$C$42/0.0708)*(1-Assumptions!$C$45)+'Cash Flow'!$C$46))/(11750000.0*(1+Assumptions!$C$10)-Assumptions!$C$53))^(1/Assumptions!$C$6)-1</f>
        <v/>
      </c>
      <c r="E8" s="78">
        <f>((SUM(OFFSET('Cash Flow'!$D$37,0,0,1,Assumptions!$C$6))+(('Cash Flow'!$C$42/0.0733)*(1-Assumptions!$C$45)+'Cash Flow'!$C$46))/(11750000.0*(1+Assumptions!$C$10)-Assumptions!$C$53))^(1/Assumptions!$C$6)-1</f>
        <v/>
      </c>
      <c r="F8" s="78">
        <f>((SUM(OFFSET('Cash Flow'!$D$37,0,0,1,Assumptions!$C$6))+(('Cash Flow'!$C$42/0.0758)*(1-Assumptions!$C$45)+'Cash Flow'!$C$46))/(11750000.0*(1+Assumptions!$C$10)-Assumptions!$C$53))^(1/Assumptions!$C$6)-1</f>
        <v/>
      </c>
      <c r="G8" s="78">
        <f>((SUM(OFFSET('Cash Flow'!$D$37,0,0,1,Assumptions!$C$6))+(('Cash Flow'!$C$42/0.0783)*(1-Assumptions!$C$45)+'Cash Flow'!$C$46))/(11750000.0*(1+Assumptions!$C$10)-Assumptions!$C$53))^(1/Assumptions!$C$6)-1</f>
        <v/>
      </c>
      <c r="H8" s="78">
        <f>((SUM(OFFSET('Cash Flow'!$D$37,0,0,1,Assumptions!$C$6))+(('Cash Flow'!$C$42/0.0808)*(1-Assumptions!$C$45)+'Cash Flow'!$C$46))/(11750000.0*(1+Assumptions!$C$10)-Assumptions!$C$53))^(1/Assumptions!$C$6)-1</f>
        <v/>
      </c>
      <c r="I8" s="78">
        <f>((SUM(OFFSET('Cash Flow'!$D$37,0,0,1,Assumptions!$C$6))+(('Cash Flow'!$C$42/0.0858)*(1-Assumptions!$C$45)+'Cash Flow'!$C$46))/(11750000.0*(1+Assumptions!$C$10)-Assumptions!$C$53))^(1/Assumptions!$C$6)-1</f>
        <v/>
      </c>
      <c r="K8" s="77" t="n">
        <v>7540000</v>
      </c>
      <c r="L8" s="75">
        <f>IFERROR(((((SUM(OFFSET('Cash Flow'!$D$32,0,0,1,Assumptions!$C$6))-Assumptions!$C$6*((((K8)*Assumptions!$C$48))*(-PMT(Assumptions!$C$49/12,Assumptions!$C$50*12,1)*12))))+'Cash Flow'!$C$45-(((((K8)*Assumptions!$C$48))*IF(Assumptions!$C$53=0,0,(-'Cash Flow'!$C$46)/Assumptions!$C$53))))/((K8)*(1+Assumptions!$C$10)-(((K8)*Assumptions!$C$48))))^(1/Assumptions!$C$6)-1,"")</f>
        <v/>
      </c>
      <c r="M8" s="75">
        <f>IFERROR(((((SUM(OFFSET('Cash Flow'!$D$32,0,0,1,Assumptions!$C$6))-Assumptions!$C$6*((((K8)*Assumptions!$C$48))*(-PMT(Assumptions!$C$49/12,Assumptions!$C$50*12,1)*12))))+'Cash Flow'!$C$45-(((((K8)*Assumptions!$C$48))*IF(Assumptions!$C$53=0,0,(-'Cash Flow'!$C$46)/Assumptions!$C$53))))/((K8)*(1+Assumptions!$C$10)-(((K8)*Assumptions!$C$48))))^(1/Assumptions!$C$6)-1+$N$3,"")</f>
        <v/>
      </c>
    </row>
    <row r="9">
      <c r="B9" s="42" t="n">
        <v>12340000</v>
      </c>
      <c r="C9" s="78">
        <f>((SUM(OFFSET('Cash Flow'!$D$37,0,0,1,Assumptions!$C$6))+(('Cash Flow'!$C$42/0.0658)*(1-Assumptions!$C$45)+'Cash Flow'!$C$46))/(12340000.0*(1+Assumptions!$C$10)-Assumptions!$C$53))^(1/Assumptions!$C$6)-1</f>
        <v/>
      </c>
      <c r="D9" s="78">
        <f>((SUM(OFFSET('Cash Flow'!$D$37,0,0,1,Assumptions!$C$6))+(('Cash Flow'!$C$42/0.0708)*(1-Assumptions!$C$45)+'Cash Flow'!$C$46))/(12340000.0*(1+Assumptions!$C$10)-Assumptions!$C$53))^(1/Assumptions!$C$6)-1</f>
        <v/>
      </c>
      <c r="E9" s="78">
        <f>((SUM(OFFSET('Cash Flow'!$D$37,0,0,1,Assumptions!$C$6))+(('Cash Flow'!$C$42/0.0733)*(1-Assumptions!$C$45)+'Cash Flow'!$C$46))/(12340000.0*(1+Assumptions!$C$10)-Assumptions!$C$53))^(1/Assumptions!$C$6)-1</f>
        <v/>
      </c>
      <c r="F9" s="78">
        <f>((SUM(OFFSET('Cash Flow'!$D$37,0,0,1,Assumptions!$C$6))+(('Cash Flow'!$C$42/0.0758)*(1-Assumptions!$C$45)+'Cash Flow'!$C$46))/(12340000.0*(1+Assumptions!$C$10)-Assumptions!$C$53))^(1/Assumptions!$C$6)-1</f>
        <v/>
      </c>
      <c r="G9" s="78">
        <f>((SUM(OFFSET('Cash Flow'!$D$37,0,0,1,Assumptions!$C$6))+(('Cash Flow'!$C$42/0.0783)*(1-Assumptions!$C$45)+'Cash Flow'!$C$46))/(12340000.0*(1+Assumptions!$C$10)-Assumptions!$C$53))^(1/Assumptions!$C$6)-1</f>
        <v/>
      </c>
      <c r="H9" s="78">
        <f>((SUM(OFFSET('Cash Flow'!$D$37,0,0,1,Assumptions!$C$6))+(('Cash Flow'!$C$42/0.0808)*(1-Assumptions!$C$45)+'Cash Flow'!$C$46))/(12340000.0*(1+Assumptions!$C$10)-Assumptions!$C$53))^(1/Assumptions!$C$6)-1</f>
        <v/>
      </c>
      <c r="I9" s="78">
        <f>((SUM(OFFSET('Cash Flow'!$D$37,0,0,1,Assumptions!$C$6))+(('Cash Flow'!$C$42/0.0858)*(1-Assumptions!$C$45)+'Cash Flow'!$C$46))/(12340000.0*(1+Assumptions!$C$10)-Assumptions!$C$53))^(1/Assumptions!$C$6)-1</f>
        <v/>
      </c>
      <c r="K9" s="77" t="n">
        <v>7956000</v>
      </c>
      <c r="L9" s="75">
        <f>IFERROR(((((SUM(OFFSET('Cash Flow'!$D$32,0,0,1,Assumptions!$C$6))-Assumptions!$C$6*((((K9)*Assumptions!$C$48))*(-PMT(Assumptions!$C$49/12,Assumptions!$C$50*12,1)*12))))+'Cash Flow'!$C$45-(((((K9)*Assumptions!$C$48))*IF(Assumptions!$C$53=0,0,(-'Cash Flow'!$C$46)/Assumptions!$C$53))))/((K9)*(1+Assumptions!$C$10)-(((K9)*Assumptions!$C$48))))^(1/Assumptions!$C$6)-1,"")</f>
        <v/>
      </c>
      <c r="M9" s="75">
        <f>IFERROR(((((SUM(OFFSET('Cash Flow'!$D$32,0,0,1,Assumptions!$C$6))-Assumptions!$C$6*((((K9)*Assumptions!$C$48))*(-PMT(Assumptions!$C$49/12,Assumptions!$C$50*12,1)*12))))+'Cash Flow'!$C$45-(((((K9)*Assumptions!$C$48))*IF(Assumptions!$C$53=0,0,(-'Cash Flow'!$C$46)/Assumptions!$C$53))))/((K9)*(1+Assumptions!$C$10)-(((K9)*Assumptions!$C$48))))^(1/Assumptions!$C$6)-1+$N$3,"")</f>
        <v/>
      </c>
    </row>
    <row r="10">
      <c r="B10" s="42" t="n">
        <v>12930000</v>
      </c>
      <c r="C10" s="78">
        <f>((SUM(OFFSET('Cash Flow'!$D$37,0,0,1,Assumptions!$C$6))+(('Cash Flow'!$C$42/0.0658)*(1-Assumptions!$C$45)+'Cash Flow'!$C$46))/(12930000.0*(1+Assumptions!$C$10)-Assumptions!$C$53))^(1/Assumptions!$C$6)-1</f>
        <v/>
      </c>
      <c r="D10" s="78">
        <f>((SUM(OFFSET('Cash Flow'!$D$37,0,0,1,Assumptions!$C$6))+(('Cash Flow'!$C$42/0.0708)*(1-Assumptions!$C$45)+'Cash Flow'!$C$46))/(12930000.0*(1+Assumptions!$C$10)-Assumptions!$C$53))^(1/Assumptions!$C$6)-1</f>
        <v/>
      </c>
      <c r="E10" s="78">
        <f>((SUM(OFFSET('Cash Flow'!$D$37,0,0,1,Assumptions!$C$6))+(('Cash Flow'!$C$42/0.0733)*(1-Assumptions!$C$45)+'Cash Flow'!$C$46))/(12930000.0*(1+Assumptions!$C$10)-Assumptions!$C$53))^(1/Assumptions!$C$6)-1</f>
        <v/>
      </c>
      <c r="F10" s="78">
        <f>((SUM(OFFSET('Cash Flow'!$D$37,0,0,1,Assumptions!$C$6))+(('Cash Flow'!$C$42/0.0758)*(1-Assumptions!$C$45)+'Cash Flow'!$C$46))/(12930000.0*(1+Assumptions!$C$10)-Assumptions!$C$53))^(1/Assumptions!$C$6)-1</f>
        <v/>
      </c>
      <c r="G10" s="78">
        <f>((SUM(OFFSET('Cash Flow'!$D$37,0,0,1,Assumptions!$C$6))+(('Cash Flow'!$C$42/0.0783)*(1-Assumptions!$C$45)+'Cash Flow'!$C$46))/(12930000.0*(1+Assumptions!$C$10)-Assumptions!$C$53))^(1/Assumptions!$C$6)-1</f>
        <v/>
      </c>
      <c r="H10" s="78">
        <f>((SUM(OFFSET('Cash Flow'!$D$37,0,0,1,Assumptions!$C$6))+(('Cash Flow'!$C$42/0.0808)*(1-Assumptions!$C$45)+'Cash Flow'!$C$46))/(12930000.0*(1+Assumptions!$C$10)-Assumptions!$C$53))^(1/Assumptions!$C$6)-1</f>
        <v/>
      </c>
      <c r="I10" s="78">
        <f>((SUM(OFFSET('Cash Flow'!$D$37,0,0,1,Assumptions!$C$6))+(('Cash Flow'!$C$42/0.0858)*(1-Assumptions!$C$45)+'Cash Flow'!$C$46))/(12930000.0*(1+Assumptions!$C$10)-Assumptions!$C$53))^(1/Assumptions!$C$6)-1</f>
        <v/>
      </c>
      <c r="K10" s="77" t="n">
        <v>8372000</v>
      </c>
      <c r="L10" s="75">
        <f>IFERROR(((((SUM(OFFSET('Cash Flow'!$D$32,0,0,1,Assumptions!$C$6))-Assumptions!$C$6*((((K10)*Assumptions!$C$48))*(-PMT(Assumptions!$C$49/12,Assumptions!$C$50*12,1)*12))))+'Cash Flow'!$C$45-(((((K10)*Assumptions!$C$48))*IF(Assumptions!$C$53=0,0,(-'Cash Flow'!$C$46)/Assumptions!$C$53))))/((K10)*(1+Assumptions!$C$10)-(((K10)*Assumptions!$C$48))))^(1/Assumptions!$C$6)-1,"")</f>
        <v/>
      </c>
      <c r="M10" s="75">
        <f>IFERROR(((((SUM(OFFSET('Cash Flow'!$D$32,0,0,1,Assumptions!$C$6))-Assumptions!$C$6*((((K10)*Assumptions!$C$48))*(-PMT(Assumptions!$C$49/12,Assumptions!$C$50*12,1)*12))))+'Cash Flow'!$C$45-(((((K10)*Assumptions!$C$48))*IF(Assumptions!$C$53=0,0,(-'Cash Flow'!$C$46)/Assumptions!$C$53))))/((K10)*(1+Assumptions!$C$10)-(((K10)*Assumptions!$C$48))))^(1/Assumptions!$C$6)-1+$N$3,"")</f>
        <v/>
      </c>
    </row>
    <row r="11">
      <c r="B11" s="42" t="n">
        <v>13510000</v>
      </c>
      <c r="C11" s="78">
        <f>((SUM(OFFSET('Cash Flow'!$D$37,0,0,1,Assumptions!$C$6))+(('Cash Flow'!$C$42/0.0658)*(1-Assumptions!$C$45)+'Cash Flow'!$C$46))/(13510000.0*(1+Assumptions!$C$10)-Assumptions!$C$53))^(1/Assumptions!$C$6)-1</f>
        <v/>
      </c>
      <c r="D11" s="78">
        <f>((SUM(OFFSET('Cash Flow'!$D$37,0,0,1,Assumptions!$C$6))+(('Cash Flow'!$C$42/0.0708)*(1-Assumptions!$C$45)+'Cash Flow'!$C$46))/(13510000.0*(1+Assumptions!$C$10)-Assumptions!$C$53))^(1/Assumptions!$C$6)-1</f>
        <v/>
      </c>
      <c r="E11" s="78">
        <f>((SUM(OFFSET('Cash Flow'!$D$37,0,0,1,Assumptions!$C$6))+(('Cash Flow'!$C$42/0.0733)*(1-Assumptions!$C$45)+'Cash Flow'!$C$46))/(13510000.0*(1+Assumptions!$C$10)-Assumptions!$C$53))^(1/Assumptions!$C$6)-1</f>
        <v/>
      </c>
      <c r="F11" s="78">
        <f>((SUM(OFFSET('Cash Flow'!$D$37,0,0,1,Assumptions!$C$6))+(('Cash Flow'!$C$42/0.0758)*(1-Assumptions!$C$45)+'Cash Flow'!$C$46))/(13510000.0*(1+Assumptions!$C$10)-Assumptions!$C$53))^(1/Assumptions!$C$6)-1</f>
        <v/>
      </c>
      <c r="G11" s="78">
        <f>((SUM(OFFSET('Cash Flow'!$D$37,0,0,1,Assumptions!$C$6))+(('Cash Flow'!$C$42/0.0783)*(1-Assumptions!$C$45)+'Cash Flow'!$C$46))/(13510000.0*(1+Assumptions!$C$10)-Assumptions!$C$53))^(1/Assumptions!$C$6)-1</f>
        <v/>
      </c>
      <c r="H11" s="78">
        <f>((SUM(OFFSET('Cash Flow'!$D$37,0,0,1,Assumptions!$C$6))+(('Cash Flow'!$C$42/0.0808)*(1-Assumptions!$C$45)+'Cash Flow'!$C$46))/(13510000.0*(1+Assumptions!$C$10)-Assumptions!$C$53))^(1/Assumptions!$C$6)-1</f>
        <v/>
      </c>
      <c r="I11" s="78">
        <f>((SUM(OFFSET('Cash Flow'!$D$37,0,0,1,Assumptions!$C$6))+(('Cash Flow'!$C$42/0.0858)*(1-Assumptions!$C$45)+'Cash Flow'!$C$46))/(13510000.0*(1+Assumptions!$C$10)-Assumptions!$C$53))^(1/Assumptions!$C$6)-1</f>
        <v/>
      </c>
      <c r="K11" s="77" t="n">
        <v>8788000</v>
      </c>
      <c r="L11" s="75">
        <f>IFERROR(((((SUM(OFFSET('Cash Flow'!$D$32,0,0,1,Assumptions!$C$6))-Assumptions!$C$6*((((K11)*Assumptions!$C$48))*(-PMT(Assumptions!$C$49/12,Assumptions!$C$50*12,1)*12))))+'Cash Flow'!$C$45-(((((K11)*Assumptions!$C$48))*IF(Assumptions!$C$53=0,0,(-'Cash Flow'!$C$46)/Assumptions!$C$53))))/((K11)*(1+Assumptions!$C$10)-(((K11)*Assumptions!$C$48))))^(1/Assumptions!$C$6)-1,"")</f>
        <v/>
      </c>
      <c r="M11" s="75">
        <f>IFERROR(((((SUM(OFFSET('Cash Flow'!$D$32,0,0,1,Assumptions!$C$6))-Assumptions!$C$6*((((K11)*Assumptions!$C$48))*(-PMT(Assumptions!$C$49/12,Assumptions!$C$50*12,1)*12))))+'Cash Flow'!$C$45-(((((K11)*Assumptions!$C$48))*IF(Assumptions!$C$53=0,0,(-'Cash Flow'!$C$46)/Assumptions!$C$53))))/((K11)*(1+Assumptions!$C$10)-(((K11)*Assumptions!$C$48))))^(1/Assumptions!$C$6)-1+$N$3,"")</f>
        <v/>
      </c>
    </row>
    <row r="12">
      <c r="K12" s="77" t="n">
        <v>9204000</v>
      </c>
      <c r="L12" s="75">
        <f>IFERROR(((((SUM(OFFSET('Cash Flow'!$D$32,0,0,1,Assumptions!$C$6))-Assumptions!$C$6*((((K12)*Assumptions!$C$48))*(-PMT(Assumptions!$C$49/12,Assumptions!$C$50*12,1)*12))))+'Cash Flow'!$C$45-(((((K12)*Assumptions!$C$48))*IF(Assumptions!$C$53=0,0,(-'Cash Flow'!$C$46)/Assumptions!$C$53))))/((K12)*(1+Assumptions!$C$10)-(((K12)*Assumptions!$C$48))))^(1/Assumptions!$C$6)-1,"")</f>
        <v/>
      </c>
      <c r="M12" s="75">
        <f>IFERROR(((((SUM(OFFSET('Cash Flow'!$D$32,0,0,1,Assumptions!$C$6))-Assumptions!$C$6*((((K12)*Assumptions!$C$48))*(-PMT(Assumptions!$C$49/12,Assumptions!$C$50*12,1)*12))))+'Cash Flow'!$C$45-(((((K12)*Assumptions!$C$48))*IF(Assumptions!$C$53=0,0,(-'Cash Flow'!$C$46)/Assumptions!$C$53))))/((K12)*(1+Assumptions!$C$10)-(((K12)*Assumptions!$C$48))))^(1/Assumptions!$C$6)-1+$N$3,"")</f>
        <v/>
      </c>
    </row>
    <row r="13">
      <c r="K13" s="77" t="n">
        <v>9620000</v>
      </c>
      <c r="L13" s="75">
        <f>IFERROR(((((SUM(OFFSET('Cash Flow'!$D$32,0,0,1,Assumptions!$C$6))-Assumptions!$C$6*((((K13)*Assumptions!$C$48))*(-PMT(Assumptions!$C$49/12,Assumptions!$C$50*12,1)*12))))+'Cash Flow'!$C$45-(((((K13)*Assumptions!$C$48))*IF(Assumptions!$C$53=0,0,(-'Cash Flow'!$C$46)/Assumptions!$C$53))))/((K13)*(1+Assumptions!$C$10)-(((K13)*Assumptions!$C$48))))^(1/Assumptions!$C$6)-1,"")</f>
        <v/>
      </c>
      <c r="M13" s="75">
        <f>IFERROR(((((SUM(OFFSET('Cash Flow'!$D$32,0,0,1,Assumptions!$C$6))-Assumptions!$C$6*((((K13)*Assumptions!$C$48))*(-PMT(Assumptions!$C$49/12,Assumptions!$C$50*12,1)*12))))+'Cash Flow'!$C$45-(((((K13)*Assumptions!$C$48))*IF(Assumptions!$C$53=0,0,(-'Cash Flow'!$C$46)/Assumptions!$C$53))))/((K13)*(1+Assumptions!$C$10)-(((K13)*Assumptions!$C$48))))^(1/Assumptions!$C$6)-1+$N$3,"")</f>
        <v/>
      </c>
    </row>
    <row r="14">
      <c r="B14" s="11" t="inlineStr">
        <is>
          <t>Table 2: Going-In Cap (Model Y1 NOI / PP)</t>
        </is>
      </c>
      <c r="K14" s="77" t="n">
        <v>10036000</v>
      </c>
      <c r="L14" s="75">
        <f>IFERROR(((((SUM(OFFSET('Cash Flow'!$D$32,0,0,1,Assumptions!$C$6))-Assumptions!$C$6*((((K14)*Assumptions!$C$48))*(-PMT(Assumptions!$C$49/12,Assumptions!$C$50*12,1)*12))))+'Cash Flow'!$C$45-(((((K14)*Assumptions!$C$48))*IF(Assumptions!$C$53=0,0,(-'Cash Flow'!$C$46)/Assumptions!$C$53))))/((K14)*(1+Assumptions!$C$10)-(((K14)*Assumptions!$C$48))))^(1/Assumptions!$C$6)-1,"")</f>
        <v/>
      </c>
      <c r="M14" s="75">
        <f>IFERROR(((((SUM(OFFSET('Cash Flow'!$D$32,0,0,1,Assumptions!$C$6))-Assumptions!$C$6*((((K14)*Assumptions!$C$48))*(-PMT(Assumptions!$C$49/12,Assumptions!$C$50*12,1)*12))))+'Cash Flow'!$C$45-(((((K14)*Assumptions!$C$48))*IF(Assumptions!$C$53=0,0,(-'Cash Flow'!$C$46)/Assumptions!$C$53))))/((K14)*(1+Assumptions!$C$10)-(((K14)*Assumptions!$C$48))))^(1/Assumptions!$C$6)-1+$N$3,"")</f>
        <v/>
      </c>
    </row>
    <row r="15">
      <c r="B15" s="22" t="inlineStr">
        <is>
          <t>PP ($)</t>
        </is>
      </c>
      <c r="C15" s="73" t="inlineStr">
        <is>
          <t>Going-In Cap</t>
        </is>
      </c>
      <c r="K15" s="77" t="n">
        <v>10453000</v>
      </c>
      <c r="L15" s="75">
        <f>IFERROR(((((SUM(OFFSET('Cash Flow'!$D$32,0,0,1,Assumptions!$C$6))-Assumptions!$C$6*((((K15)*Assumptions!$C$48))*(-PMT(Assumptions!$C$49/12,Assumptions!$C$50*12,1)*12))))+'Cash Flow'!$C$45-(((((K15)*Assumptions!$C$48))*IF(Assumptions!$C$53=0,0,(-'Cash Flow'!$C$46)/Assumptions!$C$53))))/((K15)*(1+Assumptions!$C$10)-(((K15)*Assumptions!$C$48))))^(1/Assumptions!$C$6)-1,"")</f>
        <v/>
      </c>
      <c r="M15" s="75">
        <f>IFERROR(((((SUM(OFFSET('Cash Flow'!$D$32,0,0,1,Assumptions!$C$6))-Assumptions!$C$6*((((K15)*Assumptions!$C$48))*(-PMT(Assumptions!$C$49/12,Assumptions!$C$50*12,1)*12))))+'Cash Flow'!$C$45-(((((K15)*Assumptions!$C$48))*IF(Assumptions!$C$53=0,0,(-'Cash Flow'!$C$46)/Assumptions!$C$53))))/((K15)*(1+Assumptions!$C$10)-(((K15)*Assumptions!$C$48))))^(1/Assumptions!$C$6)-1+$N$3,"")</f>
        <v/>
      </c>
    </row>
    <row r="16">
      <c r="B16" s="42" t="n">
        <v>9990000</v>
      </c>
      <c r="C16" s="78">
        <f>'Cash Flow'!$D$21/9990000.0</f>
        <v/>
      </c>
      <c r="K16" s="77" t="n">
        <v>10869000</v>
      </c>
      <c r="L16" s="75">
        <f>IFERROR(((((SUM(OFFSET('Cash Flow'!$D$32,0,0,1,Assumptions!$C$6))-Assumptions!$C$6*((((K16)*Assumptions!$C$48))*(-PMT(Assumptions!$C$49/12,Assumptions!$C$50*12,1)*12))))+'Cash Flow'!$C$45-(((((K16)*Assumptions!$C$48))*IF(Assumptions!$C$53=0,0,(-'Cash Flow'!$C$46)/Assumptions!$C$53))))/((K16)*(1+Assumptions!$C$10)-(((K16)*Assumptions!$C$48))))^(1/Assumptions!$C$6)-1,"")</f>
        <v/>
      </c>
      <c r="M16" s="75">
        <f>IFERROR(((((SUM(OFFSET('Cash Flow'!$D$32,0,0,1,Assumptions!$C$6))-Assumptions!$C$6*((((K16)*Assumptions!$C$48))*(-PMT(Assumptions!$C$49/12,Assumptions!$C$50*12,1)*12))))+'Cash Flow'!$C$45-(((((K16)*Assumptions!$C$48))*IF(Assumptions!$C$53=0,0,(-'Cash Flow'!$C$46)/Assumptions!$C$53))))/((K16)*(1+Assumptions!$C$10)-(((K16)*Assumptions!$C$48))))^(1/Assumptions!$C$6)-1+$N$3,"")</f>
        <v/>
      </c>
    </row>
    <row r="17">
      <c r="B17" s="42" t="n">
        <v>10580000</v>
      </c>
      <c r="C17" s="78">
        <f>'Cash Flow'!$D$21/10580000.0</f>
        <v/>
      </c>
      <c r="K17" s="77" t="n">
        <v>11285000</v>
      </c>
      <c r="L17" s="75">
        <f>IFERROR(((((SUM(OFFSET('Cash Flow'!$D$32,0,0,1,Assumptions!$C$6))-Assumptions!$C$6*((((K17)*Assumptions!$C$48))*(-PMT(Assumptions!$C$49/12,Assumptions!$C$50*12,1)*12))))+'Cash Flow'!$C$45-(((((K17)*Assumptions!$C$48))*IF(Assumptions!$C$53=0,0,(-'Cash Flow'!$C$46)/Assumptions!$C$53))))/((K17)*(1+Assumptions!$C$10)-(((K17)*Assumptions!$C$48))))^(1/Assumptions!$C$6)-1,"")</f>
        <v/>
      </c>
      <c r="M17" s="75">
        <f>IFERROR(((((SUM(OFFSET('Cash Flow'!$D$32,0,0,1,Assumptions!$C$6))-Assumptions!$C$6*((((K17)*Assumptions!$C$48))*(-PMT(Assumptions!$C$49/12,Assumptions!$C$50*12,1)*12))))+'Cash Flow'!$C$45-(((((K17)*Assumptions!$C$48))*IF(Assumptions!$C$53=0,0,(-'Cash Flow'!$C$46)/Assumptions!$C$53))))/((K17)*(1+Assumptions!$C$10)-(((K17)*Assumptions!$C$48))))^(1/Assumptions!$C$6)-1+$N$3,"")</f>
        <v/>
      </c>
    </row>
    <row r="18">
      <c r="B18" s="42" t="n">
        <v>11160000</v>
      </c>
      <c r="C18" s="78">
        <f>'Cash Flow'!$D$21/11160000.0</f>
        <v/>
      </c>
      <c r="K18" s="77" t="n">
        <v>11701000</v>
      </c>
      <c r="L18" s="75">
        <f>IFERROR(((((SUM(OFFSET('Cash Flow'!$D$32,0,0,1,Assumptions!$C$6))-Assumptions!$C$6*((((K18)*Assumptions!$C$48))*(-PMT(Assumptions!$C$49/12,Assumptions!$C$50*12,1)*12))))+'Cash Flow'!$C$45-(((((K18)*Assumptions!$C$48))*IF(Assumptions!$C$53=0,0,(-'Cash Flow'!$C$46)/Assumptions!$C$53))))/((K18)*(1+Assumptions!$C$10)-(((K18)*Assumptions!$C$48))))^(1/Assumptions!$C$6)-1,"")</f>
        <v/>
      </c>
      <c r="M18" s="75">
        <f>IFERROR(((((SUM(OFFSET('Cash Flow'!$D$32,0,0,1,Assumptions!$C$6))-Assumptions!$C$6*((((K18)*Assumptions!$C$48))*(-PMT(Assumptions!$C$49/12,Assumptions!$C$50*12,1)*12))))+'Cash Flow'!$C$45-(((((K18)*Assumptions!$C$48))*IF(Assumptions!$C$53=0,0,(-'Cash Flow'!$C$46)/Assumptions!$C$53))))/((K18)*(1+Assumptions!$C$10)-(((K18)*Assumptions!$C$48))))^(1/Assumptions!$C$6)-1+$N$3,"")</f>
        <v/>
      </c>
    </row>
    <row r="19">
      <c r="B19" s="42" t="n">
        <v>11750000</v>
      </c>
      <c r="C19" s="78">
        <f>'Cash Flow'!$D$21/11750000.0</f>
        <v/>
      </c>
      <c r="K19" s="77" t="n">
        <v>12117000</v>
      </c>
      <c r="L19" s="75">
        <f>IFERROR(((((SUM(OFFSET('Cash Flow'!$D$32,0,0,1,Assumptions!$C$6))-Assumptions!$C$6*((((K19)*Assumptions!$C$48))*(-PMT(Assumptions!$C$49/12,Assumptions!$C$50*12,1)*12))))+'Cash Flow'!$C$45-(((((K19)*Assumptions!$C$48))*IF(Assumptions!$C$53=0,0,(-'Cash Flow'!$C$46)/Assumptions!$C$53))))/((K19)*(1+Assumptions!$C$10)-(((K19)*Assumptions!$C$48))))^(1/Assumptions!$C$6)-1,"")</f>
        <v/>
      </c>
      <c r="M19" s="75">
        <f>IFERROR(((((SUM(OFFSET('Cash Flow'!$D$32,0,0,1,Assumptions!$C$6))-Assumptions!$C$6*((((K19)*Assumptions!$C$48))*(-PMT(Assumptions!$C$49/12,Assumptions!$C$50*12,1)*12))))+'Cash Flow'!$C$45-(((((K19)*Assumptions!$C$48))*IF(Assumptions!$C$53=0,0,(-'Cash Flow'!$C$46)/Assumptions!$C$53))))/((K19)*(1+Assumptions!$C$10)-(((K19)*Assumptions!$C$48))))^(1/Assumptions!$C$6)-1+$N$3,"")</f>
        <v/>
      </c>
    </row>
    <row r="20">
      <c r="B20" s="42" t="n">
        <v>12340000</v>
      </c>
      <c r="C20" s="78">
        <f>'Cash Flow'!$D$21/12340000.0</f>
        <v/>
      </c>
      <c r="K20" s="77" t="n">
        <v>12533000</v>
      </c>
      <c r="L20" s="75">
        <f>IFERROR(((((SUM(OFFSET('Cash Flow'!$D$32,0,0,1,Assumptions!$C$6))-Assumptions!$C$6*((((K20)*Assumptions!$C$48))*(-PMT(Assumptions!$C$49/12,Assumptions!$C$50*12,1)*12))))+'Cash Flow'!$C$45-(((((K20)*Assumptions!$C$48))*IF(Assumptions!$C$53=0,0,(-'Cash Flow'!$C$46)/Assumptions!$C$53))))/((K20)*(1+Assumptions!$C$10)-(((K20)*Assumptions!$C$48))))^(1/Assumptions!$C$6)-1,"")</f>
        <v/>
      </c>
      <c r="M20" s="75">
        <f>IFERROR(((((SUM(OFFSET('Cash Flow'!$D$32,0,0,1,Assumptions!$C$6))-Assumptions!$C$6*((((K20)*Assumptions!$C$48))*(-PMT(Assumptions!$C$49/12,Assumptions!$C$50*12,1)*12))))+'Cash Flow'!$C$45-(((((K20)*Assumptions!$C$48))*IF(Assumptions!$C$53=0,0,(-'Cash Flow'!$C$46)/Assumptions!$C$53))))/((K20)*(1+Assumptions!$C$10)-(((K20)*Assumptions!$C$48))))^(1/Assumptions!$C$6)-1+$N$3,"")</f>
        <v/>
      </c>
    </row>
    <row r="21">
      <c r="B21" s="42" t="n">
        <v>12930000</v>
      </c>
      <c r="C21" s="78">
        <f>'Cash Flow'!$D$21/12930000.0</f>
        <v/>
      </c>
      <c r="K21" s="77" t="n">
        <v>12949000</v>
      </c>
      <c r="L21" s="75">
        <f>IFERROR(((((SUM(OFFSET('Cash Flow'!$D$32,0,0,1,Assumptions!$C$6))-Assumptions!$C$6*((((K21)*Assumptions!$C$48))*(-PMT(Assumptions!$C$49/12,Assumptions!$C$50*12,1)*12))))+'Cash Flow'!$C$45-(((((K21)*Assumptions!$C$48))*IF(Assumptions!$C$53=0,0,(-'Cash Flow'!$C$46)/Assumptions!$C$53))))/((K21)*(1+Assumptions!$C$10)-(((K21)*Assumptions!$C$48))))^(1/Assumptions!$C$6)-1,"")</f>
        <v/>
      </c>
      <c r="M21" s="75">
        <f>IFERROR(((((SUM(OFFSET('Cash Flow'!$D$32,0,0,1,Assumptions!$C$6))-Assumptions!$C$6*((((K21)*Assumptions!$C$48))*(-PMT(Assumptions!$C$49/12,Assumptions!$C$50*12,1)*12))))+'Cash Flow'!$C$45-(((((K21)*Assumptions!$C$48))*IF(Assumptions!$C$53=0,0,(-'Cash Flow'!$C$46)/Assumptions!$C$53))))/((K21)*(1+Assumptions!$C$10)-(((K21)*Assumptions!$C$48))))^(1/Assumptions!$C$6)-1+$N$3,"")</f>
        <v/>
      </c>
    </row>
    <row r="22">
      <c r="B22" s="42" t="n">
        <v>13510000</v>
      </c>
      <c r="C22" s="78">
        <f>'Cash Flow'!$D$21/13510000.0</f>
        <v/>
      </c>
      <c r="K22" s="77" t="n">
        <v>13366000</v>
      </c>
      <c r="L22" s="75">
        <f>IFERROR(((((SUM(OFFSET('Cash Flow'!$D$32,0,0,1,Assumptions!$C$6))-Assumptions!$C$6*((((K22)*Assumptions!$C$48))*(-PMT(Assumptions!$C$49/12,Assumptions!$C$50*12,1)*12))))+'Cash Flow'!$C$45-(((((K22)*Assumptions!$C$48))*IF(Assumptions!$C$53=0,0,(-'Cash Flow'!$C$46)/Assumptions!$C$53))))/((K22)*(1+Assumptions!$C$10)-(((K22)*Assumptions!$C$48))))^(1/Assumptions!$C$6)-1,"")</f>
        <v/>
      </c>
      <c r="M22" s="75">
        <f>IFERROR(((((SUM(OFFSET('Cash Flow'!$D$32,0,0,1,Assumptions!$C$6))-Assumptions!$C$6*((((K22)*Assumptions!$C$48))*(-PMT(Assumptions!$C$49/12,Assumptions!$C$50*12,1)*12))))+'Cash Flow'!$C$45-(((((K22)*Assumptions!$C$48))*IF(Assumptions!$C$53=0,0,(-'Cash Flow'!$C$46)/Assumptions!$C$53))))/((K22)*(1+Assumptions!$C$10)-(((K22)*Assumptions!$C$48))))^(1/Assumptions!$C$6)-1+$N$3,"")</f>
        <v/>
      </c>
    </row>
    <row r="23">
      <c r="K23" s="77" t="n">
        <v>13782000</v>
      </c>
      <c r="L23" s="75">
        <f>IFERROR(((((SUM(OFFSET('Cash Flow'!$D$32,0,0,1,Assumptions!$C$6))-Assumptions!$C$6*((((K23)*Assumptions!$C$48))*(-PMT(Assumptions!$C$49/12,Assumptions!$C$50*12,1)*12))))+'Cash Flow'!$C$45-(((((K23)*Assumptions!$C$48))*IF(Assumptions!$C$53=0,0,(-'Cash Flow'!$C$46)/Assumptions!$C$53))))/((K23)*(1+Assumptions!$C$10)-(((K23)*Assumptions!$C$48))))^(1/Assumptions!$C$6)-1,"")</f>
        <v/>
      </c>
      <c r="M23" s="75">
        <f>IFERROR(((((SUM(OFFSET('Cash Flow'!$D$32,0,0,1,Assumptions!$C$6))-Assumptions!$C$6*((((K23)*Assumptions!$C$48))*(-PMT(Assumptions!$C$49/12,Assumptions!$C$50*12,1)*12))))+'Cash Flow'!$C$45-(((((K23)*Assumptions!$C$48))*IF(Assumptions!$C$53=0,0,(-'Cash Flow'!$C$46)/Assumptions!$C$53))))/((K23)*(1+Assumptions!$C$10)-(((K23)*Assumptions!$C$48))))^(1/Assumptions!$C$6)-1+$N$3,"")</f>
        <v/>
      </c>
    </row>
    <row r="24">
      <c r="K24" s="77" t="n">
        <v>14198000</v>
      </c>
      <c r="L24" s="75">
        <f>IFERROR(((((SUM(OFFSET('Cash Flow'!$D$32,0,0,1,Assumptions!$C$6))-Assumptions!$C$6*((((K24)*Assumptions!$C$48))*(-PMT(Assumptions!$C$49/12,Assumptions!$C$50*12,1)*12))))+'Cash Flow'!$C$45-(((((K24)*Assumptions!$C$48))*IF(Assumptions!$C$53=0,0,(-'Cash Flow'!$C$46)/Assumptions!$C$53))))/((K24)*(1+Assumptions!$C$10)-(((K24)*Assumptions!$C$48))))^(1/Assumptions!$C$6)-1,"")</f>
        <v/>
      </c>
      <c r="M24" s="75">
        <f>IFERROR(((((SUM(OFFSET('Cash Flow'!$D$32,0,0,1,Assumptions!$C$6))-Assumptions!$C$6*((((K24)*Assumptions!$C$48))*(-PMT(Assumptions!$C$49/12,Assumptions!$C$50*12,1)*12))))+'Cash Flow'!$C$45-(((((K24)*Assumptions!$C$48))*IF(Assumptions!$C$53=0,0,(-'Cash Flow'!$C$46)/Assumptions!$C$53))))/((K24)*(1+Assumptions!$C$10)-(((K24)*Assumptions!$C$48))))^(1/Assumptions!$C$6)-1+$N$3,"")</f>
        <v/>
      </c>
    </row>
    <row r="25">
      <c r="B25" s="11" t="inlineStr">
        <is>
          <t>BID-TO-TARGET  (levered IRR)</t>
        </is>
      </c>
      <c r="C25" s="12" t="inlineStr"/>
      <c r="K25" s="77" t="n">
        <v>14614000</v>
      </c>
      <c r="L25" s="75">
        <f>IFERROR(((((SUM(OFFSET('Cash Flow'!$D$32,0,0,1,Assumptions!$C$6))-Assumptions!$C$6*((((K25)*Assumptions!$C$48))*(-PMT(Assumptions!$C$49/12,Assumptions!$C$50*12,1)*12))))+'Cash Flow'!$C$45-(((((K25)*Assumptions!$C$48))*IF(Assumptions!$C$53=0,0,(-'Cash Flow'!$C$46)/Assumptions!$C$53))))/((K25)*(1+Assumptions!$C$10)-(((K25)*Assumptions!$C$48))))^(1/Assumptions!$C$6)-1,"")</f>
        <v/>
      </c>
      <c r="M25" s="75">
        <f>IFERROR(((((SUM(OFFSET('Cash Flow'!$D$32,0,0,1,Assumptions!$C$6))-Assumptions!$C$6*((((K25)*Assumptions!$C$48))*(-PMT(Assumptions!$C$49/12,Assumptions!$C$50*12,1)*12))))+'Cash Flow'!$C$45-(((((K25)*Assumptions!$C$48))*IF(Assumptions!$C$53=0,0,(-'Cash Flow'!$C$46)/Assumptions!$C$53))))/((K25)*(1+Assumptions!$C$10)-(((K25)*Assumptions!$C$48))))^(1/Assumptions!$C$6)-1+$N$3,"")</f>
        <v/>
      </c>
    </row>
    <row r="26">
      <c r="B26" s="3" t="inlineStr">
        <is>
          <t>Target Levered IRR</t>
        </is>
      </c>
      <c r="C26" s="79">
        <f>Assumptions!$C$70</f>
        <v/>
      </c>
      <c r="K26" s="77" t="n">
        <v>15030000</v>
      </c>
      <c r="L26" s="75">
        <f>IFERROR(((((SUM(OFFSET('Cash Flow'!$D$32,0,0,1,Assumptions!$C$6))-Assumptions!$C$6*((((K26)*Assumptions!$C$48))*(-PMT(Assumptions!$C$49/12,Assumptions!$C$50*12,1)*12))))+'Cash Flow'!$C$45-(((((K26)*Assumptions!$C$48))*IF(Assumptions!$C$53=0,0,(-'Cash Flow'!$C$46)/Assumptions!$C$53))))/((K26)*(1+Assumptions!$C$10)-(((K26)*Assumptions!$C$48))))^(1/Assumptions!$C$6)-1,"")</f>
        <v/>
      </c>
      <c r="M26" s="75">
        <f>IFERROR(((((SUM(OFFSET('Cash Flow'!$D$32,0,0,1,Assumptions!$C$6))-Assumptions!$C$6*((((K26)*Assumptions!$C$48))*(-PMT(Assumptions!$C$49/12,Assumptions!$C$50*12,1)*12))))+'Cash Flow'!$C$45-(((((K26)*Assumptions!$C$48))*IF(Assumptions!$C$53=0,0,(-'Cash Flow'!$C$46)/Assumptions!$C$53))))/((K26)*(1+Assumptions!$C$10)-(((K26)*Assumptions!$C$48))))^(1/Assumptions!$C$6)-1+$N$3,"")</f>
        <v/>
      </c>
    </row>
    <row r="27">
      <c r="B27" s="22" t="inlineStr">
        <is>
          <t>Recommended Bid</t>
        </is>
      </c>
      <c r="C27" s="80">
        <f>IFERROR(INDEX(K4:K28,MATCH(Assumptions!$C$70,M4:M28,-1)),"above range")</f>
        <v/>
      </c>
      <c r="K27" s="77" t="n">
        <v>15446000</v>
      </c>
      <c r="L27" s="75">
        <f>IFERROR(((((SUM(OFFSET('Cash Flow'!$D$32,0,0,1,Assumptions!$C$6))-Assumptions!$C$6*((((K27)*Assumptions!$C$48))*(-PMT(Assumptions!$C$49/12,Assumptions!$C$50*12,1)*12))))+'Cash Flow'!$C$45-(((((K27)*Assumptions!$C$48))*IF(Assumptions!$C$53=0,0,(-'Cash Flow'!$C$46)/Assumptions!$C$53))))/((K27)*(1+Assumptions!$C$10)-(((K27)*Assumptions!$C$48))))^(1/Assumptions!$C$6)-1,"")</f>
        <v/>
      </c>
      <c r="M27" s="75">
        <f>IFERROR(((((SUM(OFFSET('Cash Flow'!$D$32,0,0,1,Assumptions!$C$6))-Assumptions!$C$6*((((K27)*Assumptions!$C$48))*(-PMT(Assumptions!$C$49/12,Assumptions!$C$50*12,1)*12))))+'Cash Flow'!$C$45-(((((K27)*Assumptions!$C$48))*IF(Assumptions!$C$53=0,0,(-'Cash Flow'!$C$46)/Assumptions!$C$53))))/((K27)*(1+Assumptions!$C$10)-(((K27)*Assumptions!$C$48))))^(1/Assumptions!$C$6)-1+$N$3,"")</f>
        <v/>
      </c>
    </row>
    <row r="28">
      <c r="B28" s="3" t="inlineStr">
        <is>
          <t>Going-In Cap at Bid</t>
        </is>
      </c>
      <c r="C28" s="79">
        <f>IFERROR('Cash Flow'!$D$21/C27,"—")</f>
        <v/>
      </c>
      <c r="K28" s="77" t="n">
        <v>15863000</v>
      </c>
      <c r="L28" s="75">
        <f>IFERROR(((((SUM(OFFSET('Cash Flow'!$D$32,0,0,1,Assumptions!$C$6))-Assumptions!$C$6*((((K28)*Assumptions!$C$48))*(-PMT(Assumptions!$C$49/12,Assumptions!$C$50*12,1)*12))))+'Cash Flow'!$C$45-(((((K28)*Assumptions!$C$48))*IF(Assumptions!$C$53=0,0,(-'Cash Flow'!$C$46)/Assumptions!$C$53))))/((K28)*(1+Assumptions!$C$10)-(((K28)*Assumptions!$C$48))))^(1/Assumptions!$C$6)-1,"")</f>
        <v/>
      </c>
      <c r="M28" s="75">
        <f>IFERROR(((((SUM(OFFSET('Cash Flow'!$D$32,0,0,1,Assumptions!$C$6))-Assumptions!$C$6*((((K28)*Assumptions!$C$48))*(-PMT(Assumptions!$C$49/12,Assumptions!$C$50*12,1)*12))))+'Cash Flow'!$C$45-(((((K28)*Assumptions!$C$48))*IF(Assumptions!$C$53=0,0,(-'Cash Flow'!$C$46)/Assumptions!$C$53))))/((K28)*(1+Assumptions!$C$10)-(((K28)*Assumptions!$C$48))))^(1/Assumptions!$C$6)-1+$N$3,"")</f>
        <v/>
      </c>
    </row>
    <row r="29">
      <c r="B29" s="3" t="inlineStr">
        <is>
          <t>Levered IRR at Current Price</t>
        </is>
      </c>
      <c r="C29" s="79">
        <f>Returns!C9</f>
        <v/>
      </c>
    </row>
    <row r="31">
      <c r="B31" s="35" t="inlineStr">
        <is>
          <t>Bid solver is a MoIC-annualized levered-IRR proxy, calibrated to the exact IRR at the current price (most accurate near the recommended bid). Confirm any bid by typing it into Purchase Price and reading the exact Levered IRR on Returns.</t>
        </is>
      </c>
    </row>
  </sheetData>
  <pageMargins left="0.3" right="0.3" top="0.45" bottom="0.45" header="0.2" footer="0.2"/>
  <pageSetup orientation="portrait" fitToHeight="1" fitToWidth="1"/>
  <headerFooter>
    <oddHeader/>
    <oddFooter>&amp;C&amp;8 &amp;A  —  Capistrano Real Estate Advisors  —  Page &amp;P of &amp;N</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B1:B31"/>
  <sheetViews>
    <sheetView showGridLines="0" workbookViewId="0">
      <selection activeCell="A1" sqref="A1"/>
    </sheetView>
  </sheetViews>
  <sheetFormatPr baseColWidth="8" defaultRowHeight="15"/>
  <cols>
    <col width="112" customWidth="1" min="2" max="2"/>
  </cols>
  <sheetData>
    <row r="1">
      <c r="B1" s="1" t="inlineStr">
        <is>
          <t>Sample Industrial — Capistrano Toolkit Demo — Underwriting Notes</t>
        </is>
      </c>
    </row>
    <row r="3">
      <c r="B3" s="81" t="inlineStr">
        <is>
          <t>MODEL CONVENTIONS</t>
        </is>
      </c>
    </row>
    <row r="4">
      <c r="B4" s="24" t="inlineStr">
        <is>
          <t>• Editable inputs are colored; bronze-filled cells are debt inputs. Formulas/links are dark.</t>
        </is>
      </c>
    </row>
    <row r="5">
      <c r="B5" s="24" t="inlineStr">
        <is>
          <t>• Asset management sits BELOW NOI (in Capital, Leasing &amp; Asset Mgmt), not in operating expenses.</t>
        </is>
      </c>
    </row>
    <row r="6">
      <c r="B6" s="24" t="inlineStr">
        <is>
          <t>• Hold Period (Assumptions) is a live driver — the sale lands in the hold year and IRR/EM/CoC recalc.</t>
        </is>
      </c>
    </row>
    <row r="7">
      <c r="B7" s="24" t="inlineStr"/>
    </row>
    <row r="8">
      <c r="B8" s="81" t="inlineStr">
        <is>
          <t>LEASE &amp; TENANT</t>
        </is>
      </c>
    </row>
    <row r="9">
      <c r="B9" s="24" t="inlineStr">
        <is>
          <t>• Tenant: Acme Industrial Co. — Operating Company (OpCo) guaranty</t>
        </is>
      </c>
    </row>
    <row r="10">
      <c r="B10" s="24" t="inlineStr">
        <is>
          <t>• Lease type: Absolute NNN; expires 2034-12-31.</t>
        </is>
      </c>
    </row>
    <row r="11">
      <c r="B11" s="24" t="inlineStr">
        <is>
          <t>• Term remaining at close: 9 years remaining at acquisition close (Year 1 of hold = 2027).</t>
        </is>
      </c>
    </row>
    <row r="12">
      <c r="B12" s="24" t="inlineStr">
        <is>
          <t>• Escalations: 2.0% annual increases on the anniversary of rent commencement, continuing through option periods.</t>
        </is>
      </c>
    </row>
    <row r="13">
      <c r="B13" s="24" t="inlineStr">
        <is>
          <t>• Renewal options: Two (2) five-year renewal options, each at a 10% bump from the then-current rent, continuing 2.0% annual escalations within each option.</t>
        </is>
      </c>
    </row>
    <row r="14">
      <c r="B14" s="24" t="inlineStr">
        <is>
          <t>• Rollover occurs in hold Year 8 (highlighted in bronze on Rent Roll &amp; Cash Flow); pre-rollover rent is contractual; post-rollover rent is FULL market rent (no renewal-probability haircut). The (1 − renewal probability) non-renewal case hits the rollover year ONLY: expected downtime/rent abatement, plus probability-weighted TI/LC.</t>
        </is>
      </c>
    </row>
    <row r="15">
      <c r="B15" s="24" t="inlineStr"/>
    </row>
    <row r="16">
      <c r="B16" s="81" t="inlineStr">
        <is>
          <t>DEAL-SPECIFIC NOTES &amp; DD ITEMS</t>
        </is>
      </c>
    </row>
    <row r="17">
      <c r="B17" s="24" t="inlineStr">
        <is>
          <t>• Verify environmental Phase I and confirm no recognized environmental conditions</t>
        </is>
      </c>
    </row>
    <row r="18">
      <c r="B18" s="24" t="inlineStr">
        <is>
          <t>• Confirm tenant financials and OpCo coverage ratios in due diligence</t>
        </is>
      </c>
    </row>
    <row r="19">
      <c r="B19" s="24" t="inlineStr">
        <is>
          <t>• Title commitment review — confirm easements and access rights</t>
        </is>
      </c>
    </row>
    <row r="20">
      <c r="B20" s="24" t="inlineStr">
        <is>
          <t>• Survey and zoning compliance verification</t>
        </is>
      </c>
    </row>
    <row r="22">
      <c r="B22" s="22" t="inlineStr">
        <is>
          <t>INVESTMENT THESIS</t>
        </is>
      </c>
    </row>
    <row r="23">
      <c r="B23" s="24" t="inlineStr">
        <is>
          <t>• Mid-market industrial asset in a logistics-corridor MSA with single-tenant absolute NNN structure</t>
        </is>
      </c>
    </row>
    <row r="24">
      <c r="B24" s="24" t="inlineStr">
        <is>
          <t>• Investment-grade OpCo guaranty with nine years of contractual term remaining at acquisition</t>
        </is>
      </c>
    </row>
    <row r="25">
      <c r="B25" s="24" t="inlineStr">
        <is>
          <t>• Contractual 2.0% annual rent escalations through option periods provide hedge against fixed-rate debt service</t>
        </is>
      </c>
    </row>
    <row r="26">
      <c r="B26" s="24" t="inlineStr">
        <is>
          <t>• Replacement cost approximately 1.25x acquisition basis on a per-SF basis</t>
        </is>
      </c>
    </row>
    <row r="28">
      <c r="B28" s="22" t="inlineStr">
        <is>
          <t>KEY RISKS</t>
        </is>
      </c>
    </row>
    <row r="29">
      <c r="B29" s="24" t="inlineStr">
        <is>
          <t>• Single-tenant concentration — release risk concentrated in Year 8 of the 10-year hold</t>
        </is>
      </c>
    </row>
    <row r="30">
      <c r="B30" s="24" t="inlineStr">
        <is>
          <t>• Below-inflation rent escalations (2.0%) versus assumed market rent growth (3.0%) widen mark-to-market over hold</t>
        </is>
      </c>
    </row>
    <row r="31">
      <c r="B31" s="24" t="inlineStr">
        <is>
          <t>• Roof and structural responsibilities revert to landlord upon option exercise — Year 9 carrying cost step-up</t>
        </is>
      </c>
    </row>
  </sheetData>
  <pageMargins left="0.3" right="0.3" top="0.45" bottom="0.45" header="0.2" footer="0.2"/>
  <pageSetup orientation="portrait" fitToHeight="1" fitToWidth="1"/>
  <headerFooter>
    <oddHeader/>
    <oddFooter>&amp;C&amp;8 &amp;A  —  Capistrano Real Estate Advisors  —  Page &amp;P of &amp;N</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B1:C119"/>
  <sheetViews>
    <sheetView showGridLines="0" workbookViewId="0">
      <selection activeCell="A1" sqref="A1"/>
    </sheetView>
  </sheetViews>
  <sheetFormatPr baseColWidth="8" defaultRowHeight="15"/>
  <cols>
    <col width="40" customWidth="1" min="2" max="2"/>
    <col width="70" customWidth="1" min="3" max="3"/>
  </cols>
  <sheetData>
    <row r="1">
      <c r="B1" s="1" t="inlineStr">
        <is>
          <t>Audit &amp; Reproducibility</t>
        </is>
      </c>
    </row>
    <row r="3">
      <c r="B3" s="22" t="inlineStr">
        <is>
          <t>Model version</t>
        </is>
      </c>
      <c r="C3" s="3" t="inlineStr">
        <is>
          <t>1.0</t>
        </is>
      </c>
    </row>
    <row r="4">
      <c r="B4" s="22" t="inlineStr">
        <is>
          <t>Built (UTC)</t>
        </is>
      </c>
      <c r="C4" s="3" t="inlineStr">
        <is>
          <t>2026-06-05 03:34</t>
        </is>
      </c>
    </row>
    <row r="5">
      <c r="B5" s="22" t="inlineStr">
        <is>
          <t>Deal</t>
        </is>
      </c>
      <c r="C5" s="3" t="inlineStr">
        <is>
          <t>Sample Industrial — Capistrano Toolkit Demo</t>
        </is>
      </c>
    </row>
    <row r="6">
      <c r="B6" s="22" t="inlineStr">
        <is>
          <t>Tenants</t>
        </is>
      </c>
      <c r="C6" s="3" t="n">
        <v>1</v>
      </c>
    </row>
    <row r="7">
      <c r="B7" s="22" t="inlineStr">
        <is>
          <t>Hold (yrs)</t>
        </is>
      </c>
      <c r="C7" s="3" t="n">
        <v>10</v>
      </c>
    </row>
    <row r="8">
      <c r="B8" s="22" t="inlineStr">
        <is>
          <t>Debt</t>
        </is>
      </c>
      <c r="C8" s="3" t="inlineStr">
        <is>
          <t>LEVERED — 60% LTV / 6.25% / 25-yr amort</t>
        </is>
      </c>
    </row>
    <row r="9">
      <c r="B9" s="22" t="inlineStr">
        <is>
          <t>Y1 NOI (model)</t>
        </is>
      </c>
      <c r="C9" s="3" t="inlineStr">
        <is>
          <t>$832,000</t>
        </is>
      </c>
    </row>
    <row r="10">
      <c r="B10" s="22" t="inlineStr">
        <is>
          <t>Going-in cap</t>
        </is>
      </c>
      <c r="C10" s="3" t="inlineStr">
        <is>
          <t>7.08%</t>
        </is>
      </c>
    </row>
    <row r="11">
      <c r="B11" s="22" t="inlineStr">
        <is>
          <t>Exit cap</t>
        </is>
      </c>
      <c r="C11" s="3" t="inlineStr">
        <is>
          <t>7.33%</t>
        </is>
      </c>
    </row>
    <row r="13">
      <c r="B13" s="11" t="inlineStr">
        <is>
          <t>SOURCE CONFIG (rebuild with: build_model.py --config &lt;this&gt; --output &lt;file&gt;.xlsx)</t>
        </is>
      </c>
    </row>
    <row r="14">
      <c r="B14" s="82" t="inlineStr">
        <is>
          <t>{</t>
        </is>
      </c>
    </row>
    <row r="15">
      <c r="B15" s="82" t="inlineStr">
        <is>
          <t xml:space="preserve"> "deal_name": "Sample Industrial \u2014 Capistrano Toolkit Demo",</t>
        </is>
      </c>
    </row>
    <row r="16">
      <c r="B16" s="82" t="inlineStr">
        <is>
          <t xml:space="preserve"> "property_address": "1234 Sample Industrial Way, Anytown, USA",</t>
        </is>
      </c>
    </row>
    <row r="17">
      <c r="B17" s="82" t="inlineStr">
        <is>
          <t xml:space="preserve"> "msa": "Sample MSA",</t>
        </is>
      </c>
    </row>
    <row r="18">
      <c r="B18" s="82" t="inlineStr">
        <is>
          <t xml:space="preserve"> "building_sf": 85000,</t>
        </is>
      </c>
    </row>
    <row r="19">
      <c r="B19" s="82" t="inlineStr">
        <is>
          <t xml:space="preserve"> "land_ac": "6.20",</t>
        </is>
      </c>
    </row>
    <row r="20">
      <c r="B20" s="82" t="inlineStr">
        <is>
          <t xml:space="preserve"> "year_built": "2014",</t>
        </is>
      </c>
    </row>
    <row r="21">
      <c r="B21" s="82" t="inlineStr">
        <is>
          <t xml:space="preserve"> "construction": "Tilt-up concrete, 28' clear height, ESFR sprinklered",</t>
        </is>
      </c>
    </row>
    <row r="22">
      <c r="B22" s="82" t="inlineStr">
        <is>
          <t xml:space="preserve"> "tenant": "Acme Industrial Co.",</t>
        </is>
      </c>
    </row>
    <row r="23">
      <c r="B23" s="82" t="inlineStr">
        <is>
          <t xml:space="preserve"> "guaranty": "Operating Company (OpCo) guaranty",</t>
        </is>
      </c>
    </row>
    <row r="24">
      <c r="B24" s="82" t="inlineStr">
        <is>
          <t xml:space="preserve"> "lease_type": "Absolute NNN",</t>
        </is>
      </c>
    </row>
    <row r="25">
      <c r="B25" s="82" t="inlineStr">
        <is>
          <t xml:space="preserve"> "lease_commencement": "2019-01-01",</t>
        </is>
      </c>
    </row>
    <row r="26">
      <c r="B26" s="82" t="inlineStr">
        <is>
          <t xml:space="preserve"> "lease_expiration": "2034-12-31",</t>
        </is>
      </c>
    </row>
    <row r="27">
      <c r="B27" s="82" t="inlineStr">
        <is>
          <t xml:space="preserve"> "escalation_text": "2.0% annual increases on the anniversary of rent commencement, continuing through option periods",</t>
        </is>
      </c>
    </row>
    <row r="28">
      <c r="B28" s="82" t="inlineStr">
        <is>
          <t xml:space="preserve"> "options_text": "Two (2) five-year renewal options, each at a 10% bump from the then-current rent, continuing 2.0% annual escalations within each option",</t>
        </is>
      </c>
    </row>
    <row r="29">
      <c r="B29" s="82" t="inlineStr">
        <is>
          <t xml:space="preserve"> "term_remaining_text": "9 years remaining at acquisition close (Year 1 of hold = 2027)",</t>
        </is>
      </c>
    </row>
    <row r="30">
      <c r="B30" s="82" t="inlineStr">
        <is>
          <t xml:space="preserve"> "acq_year": 2027,</t>
        </is>
      </c>
    </row>
    <row r="31">
      <c r="B31" s="82" t="inlineStr">
        <is>
          <t xml:space="preserve"> "hold_years": 10,</t>
        </is>
      </c>
    </row>
    <row r="32">
      <c r="B32" s="82" t="inlineStr">
        <is>
          <t xml:space="preserve"> "purchase_price": 11750000,</t>
        </is>
      </c>
    </row>
    <row r="33">
      <c r="B33" s="82" t="inlineStr">
        <is>
          <t xml:space="preserve"> "om_ask": 12000000,</t>
        </is>
      </c>
    </row>
    <row r="34">
      <c r="B34" s="82" t="inlineStr">
        <is>
          <t xml:space="preserve"> "acq_cost_pct": 0.01,</t>
        </is>
      </c>
    </row>
    <row r="35">
      <c r="B35" s="82" t="inlineStr">
        <is>
          <t xml:space="preserve"> "inplace_rent_y1": 832000,</t>
        </is>
      </c>
    </row>
    <row r="36">
      <c r="B36" s="82" t="inlineStr">
        <is>
          <t xml:space="preserve"> "market_rent_psf": 11.5,</t>
        </is>
      </c>
    </row>
    <row r="37">
      <c r="B37" s="82" t="inlineStr">
        <is>
          <t xml:space="preserve"> "peg_market_to_inplace": false,</t>
        </is>
      </c>
    </row>
    <row r="38">
      <c r="B38" s="82" t="inlineStr">
        <is>
          <t xml:space="preserve"> "market_rent_growth": 0.03,</t>
        </is>
      </c>
    </row>
    <row r="39">
      <c r="B39" s="82" t="inlineStr">
        <is>
          <t xml:space="preserve"> "contractual_bumps": 0.02,</t>
        </is>
      </c>
    </row>
    <row r="40">
      <c r="B40" s="82" t="inlineStr">
        <is>
          <t xml:space="preserve"> "vacancy": 0.0,</t>
        </is>
      </c>
    </row>
    <row r="41">
      <c r="B41" s="82" t="inlineStr">
        <is>
          <t xml:space="preserve"> "renewal_prob": 0.85,</t>
        </is>
      </c>
    </row>
    <row r="42">
      <c r="B42" s="82" t="inlineStr">
        <is>
          <t xml:space="preserve"> "downtime_months": 9,</t>
        </is>
      </c>
    </row>
    <row r="43">
      <c r="B43" s="82" t="inlineStr">
        <is>
          <t xml:space="preserve"> "reimb_recovery": 1.0,</t>
        </is>
      </c>
    </row>
    <row r="44">
      <c r="B44" s="82" t="inlineStr">
        <is>
          <t xml:space="preserve"> "lease_structure": "absolute_nnn",</t>
        </is>
      </c>
    </row>
    <row r="45">
      <c r="B45" s="82" t="inlineStr">
        <is>
          <t xml:space="preserve"> "taxes_ll": 0,</t>
        </is>
      </c>
    </row>
    <row r="46">
      <c r="B46" s="82" t="inlineStr">
        <is>
          <t xml:space="preserve"> "insurance_ll": 0,</t>
        </is>
      </c>
    </row>
    <row r="47">
      <c r="B47" s="82" t="inlineStr">
        <is>
          <t xml:space="preserve"> "cam_ll": 0,</t>
        </is>
      </c>
    </row>
    <row r="48">
      <c r="B48" s="82" t="inlineStr">
        <is>
          <t xml:space="preserve"> "roof_ll": 0,</t>
        </is>
      </c>
    </row>
    <row r="49">
      <c r="B49" s="82" t="inlineStr">
        <is>
          <t xml:space="preserve"> "opex_growth": 0.03,</t>
        </is>
      </c>
    </row>
    <row r="50">
      <c r="B50" s="82" t="inlineStr">
        <is>
          <t xml:space="preserve"> "tax_growth": 0.03,</t>
        </is>
      </c>
    </row>
    <row r="51">
      <c r="B51" s="82" t="inlineStr">
        <is>
          <t xml:space="preserve"> "insurance_growth": 0.04,</t>
        </is>
      </c>
    </row>
    <row r="52">
      <c r="B52" s="82" t="inlineStr">
        <is>
          <t xml:space="preserve"> "roof_absolute_after_rollover": true,</t>
        </is>
      </c>
    </row>
    <row r="53">
      <c r="B53" s="82" t="inlineStr">
        <is>
          <t xml:space="preserve"> "cap_reserves_psf": 0.1,</t>
        </is>
      </c>
    </row>
    <row r="54">
      <c r="B54" s="82" t="inlineStr">
        <is>
          <t xml:space="preserve"> "asset_mgmt": 5000,</t>
        </is>
      </c>
    </row>
    <row r="55">
      <c r="B55" s="82" t="inlineStr">
        <is>
          <t xml:space="preserve"> "asset_mgmt_growth": 0.03,</t>
        </is>
      </c>
    </row>
    <row r="56">
      <c r="B56" s="82" t="inlineStr">
        <is>
          <t xml:space="preserve"> "ti_new_psf": 5.0,</t>
        </is>
      </c>
    </row>
    <row r="57">
      <c r="B57" s="82" t="inlineStr">
        <is>
          <t xml:space="preserve"> "ti_renew_psf": 1.0,</t>
        </is>
      </c>
    </row>
    <row r="58">
      <c r="B58" s="82" t="inlineStr">
        <is>
          <t xml:space="preserve"> "lc_new_pct": 0.06,</t>
        </is>
      </c>
    </row>
    <row r="59">
      <c r="B59" s="82" t="inlineStr">
        <is>
          <t xml:space="preserve"> "lc_renew_pct": 0.03,</t>
        </is>
      </c>
    </row>
    <row r="60">
      <c r="B60" s="82" t="inlineStr">
        <is>
          <t xml:space="preserve"> "new_lease_term": 5,</t>
        </is>
      </c>
    </row>
    <row r="61">
      <c r="B61" s="82" t="inlineStr">
        <is>
          <t xml:space="preserve"> "exit_cap": null,</t>
        </is>
      </c>
    </row>
    <row r="62">
      <c r="B62" s="82" t="inlineStr">
        <is>
          <t xml:space="preserve"> "exit_cap_spread_bps": 25,</t>
        </is>
      </c>
    </row>
    <row r="63">
      <c r="B63" s="82" t="inlineStr">
        <is>
          <t xml:space="preserve"> "disposition_pct": 0.04,</t>
        </is>
      </c>
    </row>
    <row r="64">
      <c r="B64" s="82" t="inlineStr">
        <is>
          <t xml:space="preserve"> "lease_exp_text": "Lease expires December 31, 2034 (Year 8 of hold)",</t>
        </is>
      </c>
    </row>
    <row r="65">
      <c r="B65" s="82" t="inlineStr">
        <is>
          <t xml:space="preserve"> "months_in_rollover_year": 12,</t>
        </is>
      </c>
    </row>
    <row r="66">
      <c r="B66" s="82" t="inlineStr">
        <is>
          <t xml:space="preserve"> "rollover_year": 8,</t>
        </is>
      </c>
    </row>
    <row r="67">
      <c r="B67" s="82" t="inlineStr">
        <is>
          <t xml:space="preserve"> "initial_rent": 832000,</t>
        </is>
      </c>
    </row>
    <row r="68">
      <c r="B68" s="82" t="inlineStr">
        <is>
          <t xml:space="preserve"> "debt": {</t>
        </is>
      </c>
    </row>
    <row r="69">
      <c r="B69" s="82" t="inlineStr">
        <is>
          <t xml:space="preserve">  "mode": "levered",</t>
        </is>
      </c>
    </row>
    <row r="70">
      <c r="B70" s="82" t="inlineStr">
        <is>
          <t xml:space="preserve">  "ltv": 0.6,</t>
        </is>
      </c>
    </row>
    <row r="71">
      <c r="B71" s="82" t="inlineStr">
        <is>
          <t xml:space="preserve">  "rate": 0.0625,</t>
        </is>
      </c>
    </row>
    <row r="72">
      <c r="B72" s="82" t="inlineStr">
        <is>
          <t xml:space="preserve">  "amort": 25,</t>
        </is>
      </c>
    </row>
    <row r="73">
      <c r="B73" s="82" t="inlineStr">
        <is>
          <t xml:space="preserve">  "io_years": 0,</t>
        </is>
      </c>
    </row>
    <row r="74">
      <c r="B74" s="82" t="inlineStr">
        <is>
          <t xml:space="preserve">  "loan_fees_pct": 0.01,</t>
        </is>
      </c>
    </row>
    <row r="75">
      <c r="B75" s="82" t="inlineStr">
        <is>
          <t xml:space="preserve">  "target_dscr": 1.25</t>
        </is>
      </c>
    </row>
    <row r="76">
      <c r="B76" s="82" t="inlineStr">
        <is>
          <t xml:space="preserve"> },</t>
        </is>
      </c>
    </row>
    <row r="77">
      <c r="B77" s="82" t="inlineStr">
        <is>
          <t xml:space="preserve"> "tenants": [],</t>
        </is>
      </c>
    </row>
    <row r="78">
      <c r="B78" s="82" t="inlineStr">
        <is>
          <t xml:space="preserve"> "target_irr": 0.12,</t>
        </is>
      </c>
    </row>
    <row r="79">
      <c r="B79" s="82" t="inlineStr">
        <is>
          <t xml:space="preserve"> "dscr_floor": 1.2,</t>
        </is>
      </c>
    </row>
    <row r="80">
      <c r="B80" s="82" t="inlineStr">
        <is>
          <t xml:space="preserve"> "om_noi": 832000,</t>
        </is>
      </c>
    </row>
    <row r="81">
      <c r="B81" s="82" t="inlineStr">
        <is>
          <t xml:space="preserve"> "om_cap": 0.0693,</t>
        </is>
      </c>
    </row>
    <row r="82">
      <c r="B82" s="82" t="inlineStr">
        <is>
          <t xml:space="preserve"> "scenario": "Base",</t>
        </is>
      </c>
    </row>
    <row r="83">
      <c r="B83" s="82" t="inlineStr">
        <is>
          <t xml:space="preserve"> "refi": {</t>
        </is>
      </c>
    </row>
    <row r="84">
      <c r="B84" s="82" t="inlineStr">
        <is>
          <t xml:space="preserve">  "on": false,</t>
        </is>
      </c>
    </row>
    <row r="85">
      <c r="B85" s="82" t="inlineStr">
        <is>
          <t xml:space="preserve">  "year": 4,</t>
        </is>
      </c>
    </row>
    <row r="86">
      <c r="B86" s="82" t="inlineStr">
        <is>
          <t xml:space="preserve">  "dscr": 1.25,</t>
        </is>
      </c>
    </row>
    <row r="87">
      <c r="B87" s="82" t="inlineStr">
        <is>
          <t xml:space="preserve">  "rate": 0.06,</t>
        </is>
      </c>
    </row>
    <row r="88">
      <c r="B88" s="82" t="inlineStr">
        <is>
          <t xml:space="preserve">  "amort": 25,</t>
        </is>
      </c>
    </row>
    <row r="89">
      <c r="B89" s="82" t="inlineStr">
        <is>
          <t xml:space="preserve">  "fees_pct": 0.01</t>
        </is>
      </c>
    </row>
    <row r="90">
      <c r="B90" s="82" t="inlineStr">
        <is>
          <t xml:space="preserve"> },</t>
        </is>
      </c>
    </row>
    <row r="91">
      <c r="B91" s="82" t="inlineStr">
        <is>
          <t xml:space="preserve"> "investment_thesis": [</t>
        </is>
      </c>
    </row>
    <row r="92">
      <c r="B92" s="82" t="inlineStr">
        <is>
          <t xml:space="preserve">  "Mid-market industrial asset in a logistics-corridor MSA with single-tenant absolute NNN structure",</t>
        </is>
      </c>
    </row>
    <row r="93">
      <c r="B93" s="82" t="inlineStr">
        <is>
          <t xml:space="preserve">  "Investment-grade OpCo guaranty with nine years of contractual term remaining at acquisition",</t>
        </is>
      </c>
    </row>
    <row r="94">
      <c r="B94" s="82" t="inlineStr">
        <is>
          <t xml:space="preserve">  "Contractual 2.0% annual rent escalations through option periods provide hedge against fixed-rate debt service",</t>
        </is>
      </c>
    </row>
    <row r="95">
      <c r="B95" s="82" t="inlineStr">
        <is>
          <t xml:space="preserve">  "Replacement cost approximately 1.25x acquisition basis on a per-SF basis"</t>
        </is>
      </c>
    </row>
    <row r="96">
      <c r="B96" s="82" t="inlineStr">
        <is>
          <t xml:space="preserve"> ],</t>
        </is>
      </c>
    </row>
    <row r="97">
      <c r="B97" s="82" t="inlineStr">
        <is>
          <t xml:space="preserve"> "key_risks": [</t>
        </is>
      </c>
    </row>
    <row r="98">
      <c r="B98" s="82" t="inlineStr">
        <is>
          <t xml:space="preserve">  "Single-tenant concentration \u2014 release risk concentrated in Year 8 of the 10-year hold",</t>
        </is>
      </c>
    </row>
    <row r="99">
      <c r="B99" s="82" t="inlineStr">
        <is>
          <t xml:space="preserve">  "Below-inflation rent escalations (2.0%) versus assumed market rent growth (3.0%) widen mark-to-market over hold",</t>
        </is>
      </c>
    </row>
    <row r="100">
      <c r="B100" s="82" t="inlineStr">
        <is>
          <t xml:space="preserve">  "Roof and structural responsibilities revert to landlord upon option exercise \u2014 Year 9 carrying cost step-up"</t>
        </is>
      </c>
    </row>
    <row r="101">
      <c r="B101" s="82" t="inlineStr">
        <is>
          <t xml:space="preserve"> ],</t>
        </is>
      </c>
    </row>
    <row r="102">
      <c r="B102" s="82" t="inlineStr">
        <is>
          <t xml:space="preserve"> "deal_notes": [</t>
        </is>
      </c>
    </row>
    <row r="103">
      <c r="B103" s="82" t="inlineStr">
        <is>
          <t xml:space="preserve">  "Verify environmental Phase I and confirm no recognized environmental conditions",</t>
        </is>
      </c>
    </row>
    <row r="104">
      <c r="B104" s="82" t="inlineStr">
        <is>
          <t xml:space="preserve">  "Confirm tenant financials and OpCo coverage ratios in due diligence",</t>
        </is>
      </c>
    </row>
    <row r="105">
      <c r="B105" s="82" t="inlineStr">
        <is>
          <t xml:space="preserve">  "Title commitment review \u2014 confirm easements and access rights",</t>
        </is>
      </c>
    </row>
    <row r="106">
      <c r="B106" s="82" t="inlineStr">
        <is>
          <t xml:space="preserve">  "Survey and zoning compliance verification"</t>
        </is>
      </c>
    </row>
    <row r="107">
      <c r="B107" s="82" t="inlineStr">
        <is>
          <t xml:space="preserve"> ],</t>
        </is>
      </c>
    </row>
    <row r="108">
      <c r="B108" s="82" t="inlineStr">
        <is>
          <t xml:space="preserve"> "rent_roll_notes": [</t>
        </is>
      </c>
    </row>
    <row r="109">
      <c r="B109" s="82" t="inlineStr">
        <is>
          <t xml:space="preserve">  "In-place rent reflects current contractual rent on January 1, 2027 (Year 1 of hold)",</t>
        </is>
      </c>
    </row>
    <row r="110">
      <c r="B110" s="82" t="inlineStr">
        <is>
          <t xml:space="preserve">  "Anniversary date for annual 2.0% escalations is January 1 of each calendar year",</t>
        </is>
      </c>
    </row>
    <row r="111">
      <c r="B111" s="82" t="inlineStr">
        <is>
          <t xml:space="preserve">  "Rent schedule built from executed lease, verified against estoppel"</t>
        </is>
      </c>
    </row>
    <row r="112">
      <c r="B112" s="82" t="inlineStr">
        <is>
          <t xml:space="preserve"> ],</t>
        </is>
      </c>
    </row>
    <row r="113">
      <c r="B113" s="82" t="inlineStr">
        <is>
          <t xml:space="preserve"> "summary_structure_line": "Single-tenant absolute NNN industrial \u00b7 9 years remaining contractual term + 2x5-yr options",</t>
        </is>
      </c>
    </row>
    <row r="114">
      <c r="B114" s="82" t="inlineStr">
        <is>
          <t xml:space="preserve"> "summary_property_line": "85,000 SF tilt-up industrial \u00b7 Built 2014 \u00b7 28' clear \u00b7 ESFR",</t>
        </is>
      </c>
    </row>
    <row r="115">
      <c r="B115" s="82" t="inlineStr">
        <is>
          <t xml:space="preserve"> "summary_tenant_line": "Acme Industrial Co. \u00b7 OpCo guaranty \u00b7 National industrial distributor (illustrative)",</t>
        </is>
      </c>
    </row>
    <row r="116">
      <c r="B116" s="82" t="inlineStr">
        <is>
          <t xml:space="preserve"> "assumptions_subtitle": "Capistrano Toolkit \u2014 Demo Configuration (fictional deal for illustrative purposes only)",</t>
        </is>
      </c>
    </row>
    <row r="117">
      <c r="B117" s="82" t="inlineStr">
        <is>
          <t xml:space="preserve"> "inplace_note": "Demo configuration. All names, addresses, and figures are fictional. Use this as a starting point for your own deal.",</t>
        </is>
      </c>
    </row>
    <row r="118">
      <c r="B118" s="82" t="inlineStr">
        <is>
          <t xml:space="preserve"> "logo_path": ""</t>
        </is>
      </c>
    </row>
    <row r="119">
      <c r="B119" s="82" t="inlineStr">
        <is>
          <t>}</t>
        </is>
      </c>
    </row>
  </sheetData>
  <pageMargins left="0.3" right="0.3" top="0.45" bottom="0.45" header="0.2" footer="0.2"/>
  <pageSetup orientation="portrait" fitToHeight="0" fitToWidth="1"/>
  <headerFooter>
    <oddHeader/>
    <oddFooter>&amp;C&amp;8 &amp;A  —  Capistrano Real Estate Advisors  —  Page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2026-06-05T03:34:42Z</dcterms:created>
  <dcterms:modified xmlns:dcterms="http://purl.org/dc/terms/" xmlns:xsi="http://www.w3.org/2001/XMLSchema-instance" xsi:type="dcterms:W3CDTF">2026-06-05T03:34:42Z</dcterms:modified>
</cp:coreProperties>
</file>